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conforti\Downloads\"/>
    </mc:Choice>
  </mc:AlternateContent>
  <bookViews>
    <workbookView xWindow="0" yWindow="0" windowWidth="28800" windowHeight="12300" tabRatio="928"/>
  </bookViews>
  <sheets>
    <sheet name="Gare" sheetId="20" r:id="rId1"/>
    <sheet name="Competenze" sheetId="8" r:id="rId2"/>
    <sheet name="Formazione" sheetId="11" r:id="rId3"/>
    <sheet name="Obblighi comunicazione ANAC" sheetId="13" r:id="rId4"/>
    <sheet name="Monitoraggio RGS" sheetId="14" r:id="rId5"/>
    <sheet name="Utilizzo piattaforma telematica" sheetId="15" r:id="rId6"/>
    <sheet name="Punteggio Complessivo" sheetId="21" r:id="rId7"/>
    <sheet name="INDICI-PUNTEGGI" sheetId="3" r:id="rId8"/>
    <sheet name="Esperienza gare" sheetId="12" state="hidden" r:id="rId9"/>
    <sheet name="PESAGARE" sheetId="19" state="hidden" r:id="rId10"/>
    <sheet name="INDICIb" sheetId="17" state="hidden" r:id="rId11"/>
    <sheet name="CALCOLO" sheetId="16" state="hidden" r:id="rId12"/>
    <sheet name="coefficienti" sheetId="18"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3" l="1"/>
  <c r="B15" i="3"/>
  <c r="C14" i="3"/>
  <c r="B14" i="3"/>
  <c r="C13" i="3"/>
  <c r="B13" i="3"/>
  <c r="C12" i="3"/>
  <c r="B12" i="3"/>
  <c r="C11" i="3"/>
  <c r="B11" i="3"/>
  <c r="C10" i="3"/>
  <c r="B10" i="3"/>
  <c r="C9" i="3"/>
  <c r="B9" i="3"/>
  <c r="C8" i="3"/>
  <c r="B8" i="3"/>
  <c r="C7" i="3"/>
  <c r="B7" i="3"/>
  <c r="C5" i="3"/>
  <c r="B5" i="3"/>
  <c r="C4" i="3"/>
  <c r="B4" i="3"/>
  <c r="C3" i="3"/>
  <c r="B3" i="3"/>
  <c r="C33" i="3"/>
  <c r="C32" i="3"/>
  <c r="C31" i="3"/>
  <c r="B33" i="3"/>
  <c r="B32" i="3"/>
  <c r="B31" i="3"/>
  <c r="C22" i="3"/>
  <c r="B22" i="3"/>
  <c r="C26" i="3"/>
  <c r="B26" i="3"/>
  <c r="C25" i="3"/>
  <c r="B25" i="3"/>
  <c r="C23" i="3"/>
  <c r="B23" i="3"/>
  <c r="B4" i="21" l="1"/>
  <c r="C7" i="15" l="1"/>
  <c r="D19" i="20"/>
  <c r="D7" i="20"/>
  <c r="G29" i="19"/>
  <c r="C3" i="13"/>
  <c r="C6" i="13"/>
  <c r="C4" i="13"/>
  <c r="C5" i="13" l="1"/>
  <c r="H18" i="12"/>
  <c r="B23" i="17" l="1"/>
  <c r="H3" i="12"/>
  <c r="H2" i="12"/>
  <c r="D10" i="12"/>
  <c r="E10" i="12"/>
  <c r="F10" i="12"/>
  <c r="D11" i="12"/>
  <c r="E11" i="12"/>
  <c r="F11" i="12"/>
  <c r="D12" i="12"/>
  <c r="E12" i="12"/>
  <c r="F12" i="12"/>
  <c r="D13" i="12"/>
  <c r="E13" i="12"/>
  <c r="F13" i="12"/>
  <c r="D14" i="12"/>
  <c r="E14" i="12"/>
  <c r="F14" i="12"/>
  <c r="D15" i="12"/>
  <c r="E15" i="12"/>
  <c r="F15" i="12"/>
  <c r="D16" i="12"/>
  <c r="E16" i="12"/>
  <c r="F16" i="12"/>
  <c r="E9" i="12"/>
  <c r="F9" i="12"/>
  <c r="D9" i="12"/>
  <c r="B6" i="3"/>
  <c r="B22" i="17" l="1"/>
  <c r="B28" i="16" s="1"/>
  <c r="B29" i="3"/>
  <c r="B29" i="17" s="1"/>
  <c r="B28" i="3"/>
  <c r="B28" i="17" s="1"/>
  <c r="C24" i="19"/>
  <c r="J24" i="19" s="1"/>
  <c r="D24" i="19"/>
  <c r="E24" i="19"/>
  <c r="C25" i="19"/>
  <c r="D25" i="19"/>
  <c r="E25" i="19"/>
  <c r="C26" i="19"/>
  <c r="D26" i="19"/>
  <c r="E26" i="19"/>
  <c r="C27" i="19"/>
  <c r="D27" i="19"/>
  <c r="E27" i="19"/>
  <c r="C28" i="19"/>
  <c r="J28" i="19" s="1"/>
  <c r="D28" i="19"/>
  <c r="E28" i="19"/>
  <c r="C29" i="19"/>
  <c r="D29" i="19"/>
  <c r="E29" i="19"/>
  <c r="C30" i="19"/>
  <c r="J30" i="19" s="1"/>
  <c r="D30" i="19"/>
  <c r="E30" i="19"/>
  <c r="D23" i="19"/>
  <c r="E23" i="19"/>
  <c r="C23" i="19"/>
  <c r="I30" i="19"/>
  <c r="G30" i="19"/>
  <c r="H30" i="19" s="1"/>
  <c r="I28" i="19"/>
  <c r="G28" i="19"/>
  <c r="H28" i="19" s="1"/>
  <c r="G27" i="19"/>
  <c r="J26" i="19"/>
  <c r="I26" i="19"/>
  <c r="G26" i="19"/>
  <c r="H26" i="19" s="1"/>
  <c r="G25" i="19"/>
  <c r="I24" i="19"/>
  <c r="L24" i="19" s="1"/>
  <c r="G24" i="19"/>
  <c r="H24" i="19" s="1"/>
  <c r="G23" i="19"/>
  <c r="L26" i="19" l="1"/>
  <c r="L28" i="19"/>
  <c r="J25" i="19"/>
  <c r="L30" i="19"/>
  <c r="J27" i="19"/>
  <c r="K24" i="19"/>
  <c r="K28" i="19"/>
  <c r="J29" i="19"/>
  <c r="K26" i="19"/>
  <c r="K30" i="19"/>
  <c r="J23" i="19"/>
  <c r="H23" i="19"/>
  <c r="K23" i="19" s="1"/>
  <c r="H25" i="19"/>
  <c r="K25" i="19" s="1"/>
  <c r="H27" i="19"/>
  <c r="K27" i="19" s="1"/>
  <c r="H29" i="19"/>
  <c r="K29" i="19" s="1"/>
  <c r="I23" i="19"/>
  <c r="L23" i="19" s="1"/>
  <c r="I25" i="19"/>
  <c r="L25" i="19" s="1"/>
  <c r="I27" i="19"/>
  <c r="L27" i="19" s="1"/>
  <c r="I29" i="19"/>
  <c r="L29" i="19" s="1"/>
  <c r="B35" i="16"/>
  <c r="R35" i="16" s="1"/>
  <c r="B34" i="16"/>
  <c r="R28" i="16"/>
  <c r="D21" i="16"/>
  <c r="D20" i="16"/>
  <c r="D19" i="16"/>
  <c r="D16" i="16"/>
  <c r="D15" i="16"/>
  <c r="D14" i="16"/>
  <c r="D13" i="16"/>
  <c r="D12" i="16"/>
  <c r="D11" i="16"/>
  <c r="D10" i="16"/>
  <c r="D9" i="16"/>
  <c r="D8" i="16"/>
  <c r="D7" i="16"/>
  <c r="D6" i="16"/>
  <c r="D5" i="16"/>
  <c r="D4" i="16"/>
  <c r="D3" i="16"/>
  <c r="V34" i="16" l="1"/>
  <c r="U34" i="16"/>
  <c r="Q34" i="16"/>
  <c r="R34" i="16"/>
  <c r="P34" i="16"/>
  <c r="E31" i="19"/>
  <c r="B21" i="3" s="1"/>
  <c r="P28" i="16"/>
  <c r="U28" i="16"/>
  <c r="O35" i="16"/>
  <c r="T35" i="16"/>
  <c r="S28" i="16"/>
  <c r="O28" i="16"/>
  <c r="T28" i="16"/>
  <c r="U35" i="16"/>
  <c r="Q35" i="16"/>
  <c r="S35" i="16"/>
  <c r="Q28" i="16"/>
  <c r="V28" i="16"/>
  <c r="S34" i="16"/>
  <c r="O34" i="16"/>
  <c r="T34" i="16"/>
  <c r="P35" i="16"/>
  <c r="V35" i="16"/>
  <c r="B33" i="17"/>
  <c r="B39" i="16" s="1"/>
  <c r="B32" i="17"/>
  <c r="B38" i="16" s="1"/>
  <c r="U38" i="16" s="1"/>
  <c r="B26" i="17"/>
  <c r="B32" i="16" s="1"/>
  <c r="S32" i="16" s="1"/>
  <c r="B25" i="17"/>
  <c r="B31" i="16" s="1"/>
  <c r="O31" i="16" s="1"/>
  <c r="B19" i="3"/>
  <c r="B19" i="17" s="1"/>
  <c r="B21" i="16" s="1"/>
  <c r="R21" i="16" s="1"/>
  <c r="B18" i="3"/>
  <c r="B18" i="17" s="1"/>
  <c r="B20" i="16" s="1"/>
  <c r="R20" i="16" s="1"/>
  <c r="B17" i="3"/>
  <c r="B17" i="17" s="1"/>
  <c r="B19" i="16" s="1"/>
  <c r="R19" i="16" s="1"/>
  <c r="B13" i="17"/>
  <c r="B12" i="17"/>
  <c r="B9" i="17"/>
  <c r="B9" i="16" s="1"/>
  <c r="B7" i="17"/>
  <c r="B8" i="17"/>
  <c r="B5" i="17"/>
  <c r="B5" i="16" s="1"/>
  <c r="B4" i="17"/>
  <c r="B4" i="16" s="1"/>
  <c r="Q4" i="16" s="1"/>
  <c r="B3" i="17" l="1"/>
  <c r="B3" i="16" s="1"/>
  <c r="B31" i="17"/>
  <c r="B37" i="16" s="1"/>
  <c r="S37" i="16" s="1"/>
  <c r="S38" i="16"/>
  <c r="B15" i="17"/>
  <c r="B15" i="16" s="1"/>
  <c r="Q15" i="16" s="1"/>
  <c r="B21" i="17"/>
  <c r="B23" i="16" s="1"/>
  <c r="V21" i="16"/>
  <c r="Q19" i="16"/>
  <c r="S19" i="16"/>
  <c r="O19" i="16"/>
  <c r="S21" i="16"/>
  <c r="V4" i="16"/>
  <c r="T4" i="16"/>
  <c r="O21" i="16"/>
  <c r="P21" i="16"/>
  <c r="B10" i="17"/>
  <c r="B10" i="16" s="1"/>
  <c r="U10" i="16" s="1"/>
  <c r="P20" i="16"/>
  <c r="O4" i="16"/>
  <c r="U21" i="16"/>
  <c r="T21" i="16"/>
  <c r="V20" i="16"/>
  <c r="Q20" i="16"/>
  <c r="T20" i="16"/>
  <c r="S20" i="16"/>
  <c r="R4" i="16"/>
  <c r="P4" i="16"/>
  <c r="U20" i="16"/>
  <c r="B12" i="16"/>
  <c r="O12" i="16" s="1"/>
  <c r="B11" i="17"/>
  <c r="B11" i="16" s="1"/>
  <c r="U19" i="16"/>
  <c r="P19" i="16"/>
  <c r="T19" i="16"/>
  <c r="O20" i="16"/>
  <c r="V19" i="16"/>
  <c r="U4" i="16"/>
  <c r="S4" i="16"/>
  <c r="Q21" i="16"/>
  <c r="B7" i="16"/>
  <c r="T7" i="16" s="1"/>
  <c r="B6" i="17"/>
  <c r="B6" i="16" s="1"/>
  <c r="B8" i="16"/>
  <c r="R8" i="16" s="1"/>
  <c r="V5" i="16"/>
  <c r="U5" i="16"/>
  <c r="Q5" i="16"/>
  <c r="T5" i="16"/>
  <c r="S5" i="16"/>
  <c r="P5" i="16"/>
  <c r="O5" i="16"/>
  <c r="R5" i="16"/>
  <c r="B13" i="16"/>
  <c r="P13" i="16" s="1"/>
  <c r="B14" i="17"/>
  <c r="B14" i="16" s="1"/>
  <c r="B29" i="16"/>
  <c r="R29" i="16" s="1"/>
  <c r="T39" i="16"/>
  <c r="S39" i="16"/>
  <c r="P39" i="16"/>
  <c r="Q39" i="16"/>
  <c r="O39" i="16"/>
  <c r="V39" i="16"/>
  <c r="U39" i="16"/>
  <c r="R39" i="16"/>
  <c r="Q38" i="16"/>
  <c r="T38" i="16"/>
  <c r="V38" i="16"/>
  <c r="P38" i="16"/>
  <c r="R38" i="16"/>
  <c r="O38" i="16"/>
  <c r="O32" i="16"/>
  <c r="U32" i="16"/>
  <c r="T32" i="16"/>
  <c r="P32" i="16"/>
  <c r="R32" i="16"/>
  <c r="V32" i="16"/>
  <c r="Q32" i="16"/>
  <c r="U31" i="16"/>
  <c r="P31" i="16"/>
  <c r="T31" i="16"/>
  <c r="Q31" i="16"/>
  <c r="R31" i="16"/>
  <c r="V31" i="16"/>
  <c r="S31" i="16"/>
  <c r="X35" i="16"/>
  <c r="Y35" i="16" s="1"/>
  <c r="Z35" i="16" s="1"/>
  <c r="AB35" i="16" s="1"/>
  <c r="AC35" i="16" s="1"/>
  <c r="C29" i="17" s="1"/>
  <c r="C29" i="3" s="1"/>
  <c r="X34" i="16"/>
  <c r="Y34" i="16" s="1"/>
  <c r="X28" i="16"/>
  <c r="Y28" i="16" s="1"/>
  <c r="Z28" i="16" s="1"/>
  <c r="AB28" i="16" s="1"/>
  <c r="AC28" i="16" s="1"/>
  <c r="C22" i="17" s="1"/>
  <c r="Q37" i="16" l="1"/>
  <c r="R3" i="16"/>
  <c r="S3" i="16"/>
  <c r="U3" i="16"/>
  <c r="Q3" i="16"/>
  <c r="V3" i="16"/>
  <c r="T3" i="16"/>
  <c r="P3" i="16"/>
  <c r="O3" i="16"/>
  <c r="Z34" i="16"/>
  <c r="AB34" i="16" s="1"/>
  <c r="AC34" i="16" s="1"/>
  <c r="C28" i="17" s="1"/>
  <c r="C28" i="3" s="1"/>
  <c r="V7" i="16"/>
  <c r="X39" i="16"/>
  <c r="Y39" i="16" s="1"/>
  <c r="Z39" i="16" s="1"/>
  <c r="AB39" i="16" s="1"/>
  <c r="AC39" i="16" s="1"/>
  <c r="C33" i="17" s="1"/>
  <c r="X38" i="16"/>
  <c r="Y38" i="16" s="1"/>
  <c r="Z38" i="16" s="1"/>
  <c r="AB38" i="16" s="1"/>
  <c r="AC38" i="16" s="1"/>
  <c r="C32" i="17" s="1"/>
  <c r="U37" i="16"/>
  <c r="R37" i="16"/>
  <c r="V37" i="16"/>
  <c r="P37" i="16"/>
  <c r="O37" i="16"/>
  <c r="T37" i="16"/>
  <c r="X32" i="16"/>
  <c r="Y32" i="16" s="1"/>
  <c r="Z32" i="16" s="1"/>
  <c r="AB32" i="16" s="1"/>
  <c r="AC32" i="16" s="1"/>
  <c r="C26" i="17" s="1"/>
  <c r="V12" i="16"/>
  <c r="T12" i="16"/>
  <c r="V13" i="16"/>
  <c r="O29" i="16"/>
  <c r="T29" i="16"/>
  <c r="Q29" i="16"/>
  <c r="V29" i="16"/>
  <c r="X31" i="16"/>
  <c r="Y31" i="16" s="1"/>
  <c r="Z31" i="16" s="1"/>
  <c r="AB31" i="16" s="1"/>
  <c r="AC31" i="16" s="1"/>
  <c r="C25" i="17" s="1"/>
  <c r="T23" i="16"/>
  <c r="S23" i="16"/>
  <c r="AD23" i="16"/>
  <c r="AG23" i="16" s="1"/>
  <c r="R23" i="16"/>
  <c r="B24" i="16"/>
  <c r="Q23" i="16"/>
  <c r="V23" i="16"/>
  <c r="U23" i="16"/>
  <c r="B26" i="16"/>
  <c r="P23" i="16"/>
  <c r="O23" i="16"/>
  <c r="R7" i="16"/>
  <c r="U7" i="16"/>
  <c r="P7" i="16"/>
  <c r="S7" i="16"/>
  <c r="O7" i="16"/>
  <c r="Q7" i="16"/>
  <c r="X4" i="16"/>
  <c r="Y4" i="16" s="1"/>
  <c r="Z4" i="16" s="1"/>
  <c r="AB4" i="16" s="1"/>
  <c r="AC4" i="16" s="1"/>
  <c r="C4" i="17" s="1"/>
  <c r="O14" i="16"/>
  <c r="P14" i="16"/>
  <c r="V14" i="16"/>
  <c r="T14" i="16"/>
  <c r="U14" i="16"/>
  <c r="S14" i="16"/>
  <c r="S9" i="16"/>
  <c r="V9" i="16"/>
  <c r="T9" i="16"/>
  <c r="Q10" i="16"/>
  <c r="P10" i="16"/>
  <c r="Q13" i="16"/>
  <c r="P15" i="16"/>
  <c r="Q8" i="16"/>
  <c r="R15" i="16"/>
  <c r="R12" i="16"/>
  <c r="S13" i="16"/>
  <c r="U15" i="16"/>
  <c r="X21" i="16"/>
  <c r="Y21" i="16" s="1"/>
  <c r="Z21" i="16" s="1"/>
  <c r="AB21" i="16" s="1"/>
  <c r="AC21" i="16" s="1"/>
  <c r="X20" i="16"/>
  <c r="Y20" i="16" s="1"/>
  <c r="Z20" i="16" s="1"/>
  <c r="AB20" i="16" s="1"/>
  <c r="C18" i="17" s="1"/>
  <c r="C18" i="3" s="1"/>
  <c r="X19" i="16"/>
  <c r="Y19" i="16" s="1"/>
  <c r="Z19" i="16" s="1"/>
  <c r="AB19" i="16" s="1"/>
  <c r="C17" i="17" s="1"/>
  <c r="C17" i="3" s="1"/>
  <c r="V11" i="16"/>
  <c r="Q11" i="16"/>
  <c r="S11" i="16"/>
  <c r="P11" i="16"/>
  <c r="T11" i="16"/>
  <c r="O11" i="16"/>
  <c r="R11" i="16"/>
  <c r="U11" i="16"/>
  <c r="V10" i="16"/>
  <c r="S15" i="16"/>
  <c r="R10" i="16"/>
  <c r="S12" i="16"/>
  <c r="O13" i="16"/>
  <c r="R13" i="16"/>
  <c r="O15" i="16"/>
  <c r="T15" i="16"/>
  <c r="Q12" i="16"/>
  <c r="P12" i="16"/>
  <c r="T10" i="16"/>
  <c r="V15" i="16"/>
  <c r="X5" i="16"/>
  <c r="Y5" i="16" s="1"/>
  <c r="Z5" i="16" s="1"/>
  <c r="AB5" i="16" s="1"/>
  <c r="AC5" i="16" s="1"/>
  <c r="C5" i="17" s="1"/>
  <c r="S10" i="16"/>
  <c r="O10" i="16"/>
  <c r="U12" i="16"/>
  <c r="T13" i="16"/>
  <c r="B16" i="16"/>
  <c r="U13" i="16"/>
  <c r="S6" i="16"/>
  <c r="R6" i="16"/>
  <c r="O6" i="16"/>
  <c r="Q6" i="16"/>
  <c r="V6" i="16"/>
  <c r="T6" i="16"/>
  <c r="P6" i="16"/>
  <c r="U6" i="16"/>
  <c r="T8" i="16"/>
  <c r="P8" i="16"/>
  <c r="V8" i="16"/>
  <c r="U8" i="16"/>
  <c r="O8" i="16"/>
  <c r="S8" i="16"/>
  <c r="Q9" i="16"/>
  <c r="P9" i="16"/>
  <c r="O9" i="16"/>
  <c r="R9" i="16"/>
  <c r="U9" i="16"/>
  <c r="Q14" i="16"/>
  <c r="R14" i="16"/>
  <c r="S29" i="16"/>
  <c r="P29" i="16"/>
  <c r="U29" i="16"/>
  <c r="X10" i="16" l="1"/>
  <c r="Y10" i="16" s="1"/>
  <c r="Z10" i="16" s="1"/>
  <c r="AB10" i="16" s="1"/>
  <c r="AC10" i="16" s="1"/>
  <c r="C10" i="17" s="1"/>
  <c r="X3" i="16"/>
  <c r="Y3" i="16" s="1"/>
  <c r="Z3" i="16" s="1"/>
  <c r="AB3" i="16" s="1"/>
  <c r="AC3" i="16" s="1"/>
  <c r="C3" i="17" s="1"/>
  <c r="D28" i="3"/>
  <c r="D3" i="14"/>
  <c r="B6" i="21" s="1"/>
  <c r="X11" i="16"/>
  <c r="Y11" i="16" s="1"/>
  <c r="Z11" i="16" s="1"/>
  <c r="AB11" i="16" s="1"/>
  <c r="AC11" i="16" s="1"/>
  <c r="C11" i="17" s="1"/>
  <c r="X37" i="16"/>
  <c r="Y37" i="16" s="1"/>
  <c r="Z37" i="16" s="1"/>
  <c r="AB37" i="16" s="1"/>
  <c r="AC37" i="16" s="1"/>
  <c r="C31" i="17" s="1"/>
  <c r="D31" i="3" s="1"/>
  <c r="D3" i="15" s="1"/>
  <c r="B7" i="21" s="1"/>
  <c r="D25" i="3"/>
  <c r="D3" i="13"/>
  <c r="B5" i="21" s="1"/>
  <c r="AC20" i="16"/>
  <c r="X13" i="16"/>
  <c r="Y13" i="16" s="1"/>
  <c r="Z13" i="16" s="1"/>
  <c r="AB13" i="16" s="1"/>
  <c r="AC13" i="16" s="1"/>
  <c r="C13" i="17" s="1"/>
  <c r="C19" i="17"/>
  <c r="C19" i="3" s="1"/>
  <c r="D3" i="11" s="1"/>
  <c r="X23" i="16"/>
  <c r="Y23" i="16" s="1"/>
  <c r="Z23" i="16" s="1"/>
  <c r="AB23" i="16" s="1"/>
  <c r="AH23" i="16" s="1"/>
  <c r="X15" i="16"/>
  <c r="Y15" i="16" s="1"/>
  <c r="Z15" i="16" s="1"/>
  <c r="AB15" i="16" s="1"/>
  <c r="AD26" i="16"/>
  <c r="AE26" i="16"/>
  <c r="AF26" i="16"/>
  <c r="S24" i="16"/>
  <c r="AE24" i="16"/>
  <c r="P24" i="16"/>
  <c r="Q24" i="16"/>
  <c r="B25" i="16"/>
  <c r="V24" i="16"/>
  <c r="AD24" i="16"/>
  <c r="T24" i="16"/>
  <c r="R24" i="16"/>
  <c r="U24" i="16"/>
  <c r="O24" i="16"/>
  <c r="X7" i="16"/>
  <c r="Y7" i="16" s="1"/>
  <c r="Z7" i="16" s="1"/>
  <c r="AB7" i="16" s="1"/>
  <c r="AC7" i="16" s="1"/>
  <c r="C7" i="17" s="1"/>
  <c r="X12" i="16"/>
  <c r="Y12" i="16" s="1"/>
  <c r="Z12" i="16" s="1"/>
  <c r="AB12" i="16" s="1"/>
  <c r="AC12" i="16" s="1"/>
  <c r="C12" i="17" s="1"/>
  <c r="AC19" i="16"/>
  <c r="X14" i="16"/>
  <c r="Y14" i="16" s="1"/>
  <c r="Z14" i="16" s="1"/>
  <c r="AB14" i="16" s="1"/>
  <c r="AC14" i="16" s="1"/>
  <c r="C14" i="17" s="1"/>
  <c r="O16" i="16"/>
  <c r="P16" i="16"/>
  <c r="Q16" i="16"/>
  <c r="U16" i="16"/>
  <c r="S16" i="16"/>
  <c r="R16" i="16"/>
  <c r="T16" i="16"/>
  <c r="V16" i="16"/>
  <c r="X6" i="16"/>
  <c r="Y6" i="16" s="1"/>
  <c r="Z6" i="16" s="1"/>
  <c r="AB6" i="16" s="1"/>
  <c r="AC6" i="16" s="1"/>
  <c r="C6" i="17" s="1"/>
  <c r="C6" i="3" s="1"/>
  <c r="X8" i="16"/>
  <c r="Y8" i="16" s="1"/>
  <c r="Z8" i="16" s="1"/>
  <c r="AB8" i="16" s="1"/>
  <c r="AC8" i="16" s="1"/>
  <c r="C8" i="17" s="1"/>
  <c r="X9" i="16"/>
  <c r="Y9" i="16" s="1"/>
  <c r="Z9" i="16" s="1"/>
  <c r="AB9" i="16" s="1"/>
  <c r="AC9" i="16" s="1"/>
  <c r="C9" i="17" s="1"/>
  <c r="X29" i="16"/>
  <c r="Y29" i="16" s="1"/>
  <c r="Z29" i="16" s="1"/>
  <c r="AB29" i="16" s="1"/>
  <c r="AC29" i="16" s="1"/>
  <c r="C23" i="17" s="1"/>
  <c r="D17" i="3" l="1"/>
  <c r="X24" i="16"/>
  <c r="Y24" i="16" s="1"/>
  <c r="Z24" i="16" s="1"/>
  <c r="AB24" i="16" s="1"/>
  <c r="AG24" i="16"/>
  <c r="U25" i="16"/>
  <c r="P25" i="16"/>
  <c r="R25" i="16"/>
  <c r="AF25" i="16"/>
  <c r="S25" i="16"/>
  <c r="Q25" i="16"/>
  <c r="T25" i="16"/>
  <c r="AE25" i="16"/>
  <c r="AD25" i="16"/>
  <c r="O25" i="16"/>
  <c r="V25" i="16"/>
  <c r="AG26" i="16"/>
  <c r="AH26" i="16" s="1"/>
  <c r="X16" i="16"/>
  <c r="Y16" i="16" s="1"/>
  <c r="Z16" i="16" s="1"/>
  <c r="AB16" i="16" s="1"/>
  <c r="AC17" i="16" s="1"/>
  <c r="C15" i="17" s="1"/>
  <c r="D3" i="8" s="1"/>
  <c r="B3" i="21" s="1"/>
  <c r="D3" i="3" l="1"/>
  <c r="AG25" i="16"/>
  <c r="AH24" i="16"/>
  <c r="X25" i="16"/>
  <c r="Y25" i="16" s="1"/>
  <c r="Z25" i="16" s="1"/>
  <c r="AB25" i="16" s="1"/>
  <c r="AH25" i="16" l="1"/>
  <c r="AH27" i="16" s="1"/>
  <c r="AC27" i="16" s="1"/>
  <c r="C21" i="17" s="1"/>
  <c r="C38" i="17" s="1"/>
  <c r="C21" i="3" l="1"/>
  <c r="G3" i="20" l="1"/>
  <c r="B2" i="21" s="1"/>
  <c r="B8" i="21" s="1"/>
  <c r="D21" i="3"/>
  <c r="E2" i="3" s="1"/>
</calcChain>
</file>

<file path=xl/sharedStrings.xml><?xml version="1.0" encoding="utf-8"?>
<sst xmlns="http://schemas.openxmlformats.org/spreadsheetml/2006/main" count="333" uniqueCount="190">
  <si>
    <t xml:space="preserve">I53_1 - Numero dipendenti SOS/numero dipendenti SA (peso w1=15);  </t>
  </si>
  <si>
    <t>I53_1b - Numero Dirigenti SOS (peso w1b=15);</t>
  </si>
  <si>
    <t>I53_1c - Numero Funzionari SOS (peso w1c =15);</t>
  </si>
  <si>
    <t>I53_1d - Numero Impiegati SOS (peso w1d =15);</t>
  </si>
  <si>
    <t>I53_2 - Numero laureati SPECIALISTICA SOS/numero dipendenti SOS (peso w2=10);</t>
  </si>
  <si>
    <t>I53_3 - Numero laureati 1 LIVELLO SOS/numero dipendenti SOS (peso w3=8);</t>
  </si>
  <si>
    <t>I53_4 - Numero DIPLOMATI TECNICI OS /numero DIPLOMATI SOS (peso w4=5);</t>
  </si>
  <si>
    <t>I53_5 - Numero dipendenti ESPERTI (5+) SOS /numero dipendenti SOS (peso w5=13);</t>
  </si>
  <si>
    <t>I53_6 - Numero dipendenti MASTER I SOS/numero dipendenti SOS (peso w6=11);</t>
  </si>
  <si>
    <t>I53_7 - Numero dipendenti MASTER II_PHD SOS /numero dipendenti SOS (peso w7=13);</t>
  </si>
  <si>
    <t>I53_8 - Numero dipendenti ISCRITTI ALBO /numero dipendenti SOS (peso w8=11);</t>
  </si>
  <si>
    <t xml:space="preserve">I53_9 - Numero dipendenti adeguata compet. in PROJECTMANAGER SOS /numero dipendenti SOS (peso w9=11); </t>
  </si>
  <si>
    <t>I53_prod -  Numero gare aggiudicate nel quinquennio ponderate sulla base della complessità della specifica procedura / Numero dipendenti SOS (peso w1prod =75)"</t>
  </si>
  <si>
    <t xml:space="preserve">I55_1 - Numero gare aggiudicate (valutate secondo livello di complessità determinato con i pesi derivanti dall'analisi di regressione) (peso 85); </t>
  </si>
  <si>
    <t xml:space="preserve">I55_2 - Percentuale media di ritardo nei tempi aministrativi rispetto ai valori attesi ottenuti tramite l'analisi di regressione  (peso 10); </t>
  </si>
  <si>
    <t>I55_3 - Numero di gare con esito non postivo / Numero complessivo di gare bandite (peso 5);</t>
  </si>
  <si>
    <t>I56_1 - Numero gare bandite per le quali risulta comunicazione dell'esito/Numero gare bandite (peso 50);</t>
  </si>
  <si>
    <t>I56_2 - numero gare aggiudicate (scheda aggiudicazione)/numero gare bandite (che non hanno comunicato esito diverso da aggiudicazione)  (peso 50);</t>
  </si>
  <si>
    <t>I58_1 - Numero gare per le quali risulta l'uso della PT/numero gare   (peso 30);</t>
  </si>
  <si>
    <t xml:space="preserve">I58_2 - numero di gare svolte mediante “piattaforme telematiche di negoziazione Art.58” aventi importo corrispondente al livello di qualificazione base (L3) compreso tra 150.000 euro e 1.000.000 di euro (peso 30); </t>
  </si>
  <si>
    <t xml:space="preserve">I58_3 - numero di gare svolte mediante “piattaforme telematiche di negoziazione Art.58” aventi importo corrispondente ai livelli di qualificazione medio e alto (L2 e L1), ovvero da 1.000.000 di euro in poi (peso 40). </t>
  </si>
  <si>
    <t>5.3 SOS - PROFESSIONALITA'</t>
  </si>
  <si>
    <t>5.4 FORMAZIONE NEL TRIENNIO</t>
  </si>
  <si>
    <t>I54form_base = Numero dipendenti che hanno fruito di formazione BASE/numero dipendenti SOS (peso 20);</t>
  </si>
  <si>
    <t>I54form_spec = Numero dipendenti che hanno fruito di formazione SPECIALISTICA/numero dipendenti SOS (peso 60);</t>
  </si>
  <si>
    <t>I54form_avan = Numero dipendenti che hanno fruito di formazione AVANZATA/numero dipendenti SOS (peso 120);</t>
  </si>
  <si>
    <t>5.5 ESPERIENZA GARE</t>
  </si>
  <si>
    <t>5.6 COMUNICAZIONE ANAC</t>
  </si>
  <si>
    <t>5.7 MONITORAGGIO RGS</t>
  </si>
  <si>
    <t xml:space="preserve">I57_1 - Numero dei CUP Trasmessi / Numero Totale dei CUP di titolarità dell’Ente (peso 50); </t>
  </si>
  <si>
    <t>I57_2 - Somma dei pesi delle schede trasmesse per i CUP trasmessi / Numero Totale dei CUP di titolarità dell’Ente  (peso 50)</t>
  </si>
  <si>
    <t>5.8 PIATTAFORMA TELEMATICA</t>
  </si>
  <si>
    <t>Punteggio</t>
  </si>
  <si>
    <t>Valore Indice</t>
  </si>
  <si>
    <t>Percentuale media di ritardo nei tempi aministrativi rispetto ai valori attesi ottenuti tramite l'analisi di regressione</t>
  </si>
  <si>
    <t>*</t>
  </si>
  <si>
    <t>Indice</t>
  </si>
  <si>
    <t>Sottopeso</t>
  </si>
  <si>
    <t>Somma</t>
  </si>
  <si>
    <t>Min(F(X);100)</t>
  </si>
  <si>
    <t>MAX(0;Min(F(X);100))</t>
  </si>
  <si>
    <t>Peso Requisito</t>
  </si>
  <si>
    <t>Somma sottopeso</t>
  </si>
  <si>
    <t>PUNTEGGIO</t>
  </si>
  <si>
    <t>APERTA</t>
  </si>
  <si>
    <t>OEPV</t>
  </si>
  <si>
    <t>MAX</t>
  </si>
  <si>
    <t>NEGOZIATA</t>
  </si>
  <si>
    <t>RISTRETTA</t>
  </si>
  <si>
    <t>ALTRA PROC.</t>
  </si>
  <si>
    <t>Numero GARE AGGIUDICATE</t>
  </si>
  <si>
    <t>*per l'importo a base d'asta considerare il dato comunicato con la scheda S02-"CREAZIONE LOTTO", cod. 03-"IMPORTO" del Manuale SIMOG</t>
  </si>
  <si>
    <t>Classi d'importo/Livelli di qualificazione*</t>
  </si>
  <si>
    <t>*Considerare le seguenti soglie comunitarie:
2017: euro 5.225.000
2018-2019: euro 5.548.000
2020-2021: euro 5.350.0001</t>
  </si>
  <si>
    <t>Procedura°</t>
  </si>
  <si>
    <t>°per la procedura di scelta considerare il dato comunicato con la scheda S02-"CREAZIONE LOTTO", cod. 06-"SCELTA DEL CONTRAENTE" del Manuale SIMOG; utilizzare la tabella di trascodifica fornita in allegato per ricavare la descrizione sintetica</t>
  </si>
  <si>
    <t>Criterio^</t>
  </si>
  <si>
    <r>
      <t xml:space="preserve">Con riferimento alle gare </t>
    </r>
    <r>
      <rPr>
        <b/>
        <sz val="11"/>
        <rFont val="Calibri"/>
        <family val="2"/>
        <scheme val="minor"/>
      </rPr>
      <t>BANDITE</t>
    </r>
    <r>
      <rPr>
        <sz val="11"/>
        <rFont val="Calibri"/>
        <family val="2"/>
        <scheme val="minor"/>
      </rPr>
      <t xml:space="preserve"> di cui punto 1: inserire in ciascuna cella della sottostante tabella il numero di gare </t>
    </r>
    <r>
      <rPr>
        <b/>
        <u/>
        <sz val="11"/>
        <rFont val="Calibri"/>
        <family val="2"/>
        <scheme val="minor"/>
      </rPr>
      <t>AGGIUDICATE</t>
    </r>
    <r>
      <rPr>
        <b/>
        <sz val="11"/>
        <rFont val="Calibri"/>
        <family val="2"/>
        <scheme val="minor"/>
      </rPr>
      <t xml:space="preserve"> </t>
    </r>
    <r>
      <rPr>
        <sz val="11"/>
        <rFont val="Calibri"/>
        <family val="2"/>
        <scheme val="minor"/>
      </rPr>
      <t>specificando la PROCEDURA di scelta del contraente, il CRITERIO di aggiudicazione e la CLASSE D'IMPORTO (LIVELLO DI QUALIFICAZIONE) a cui appartiene la base d'asta</t>
    </r>
  </si>
  <si>
    <r>
      <t xml:space="preserve">Con riferimento alle gare </t>
    </r>
    <r>
      <rPr>
        <b/>
        <sz val="11"/>
        <rFont val="Calibri"/>
        <family val="2"/>
        <scheme val="minor"/>
      </rPr>
      <t>BANDITE</t>
    </r>
    <r>
      <rPr>
        <sz val="11"/>
        <rFont val="Calibri"/>
        <family val="2"/>
        <scheme val="minor"/>
      </rPr>
      <t xml:space="preserve"> di cui punto 1: indicare il  numero di gare </t>
    </r>
    <r>
      <rPr>
        <b/>
        <sz val="11"/>
        <rFont val="Calibri"/>
        <family val="2"/>
        <scheme val="minor"/>
      </rPr>
      <t>AGGIUDICATE*</t>
    </r>
    <r>
      <rPr>
        <sz val="11"/>
        <rFont val="Calibri"/>
        <family val="2"/>
        <scheme val="minor"/>
      </rPr>
      <t xml:space="preserve"> </t>
    </r>
  </si>
  <si>
    <t xml:space="preserve">
*per il numero di gare aggiudicate considerare le gare per le quali è stata trasmessa la scheda S08-"AGGIUDICAZIONE SOPRA SOGLIA" del Manuale SIMOG</t>
  </si>
  <si>
    <t>^per il criterio di scelta considerare il dato comunicato con la scheda S08-"AGGIUDICAZIONE SOPRA SOGLIA", cod. 33-"CRITERI DI AGGIUDICAZIONE" del Manuale SIMOG</t>
  </si>
  <si>
    <t>&gt;= 150.000 euro e &lt; 1.000.000 -(livello L3)</t>
  </si>
  <si>
    <t>&gt;= 1.000.000 e &lt;soglia comunitaria -(livello L2)</t>
  </si>
  <si>
    <t>&gt;=soglia comunitaria - (livello L1)</t>
  </si>
  <si>
    <t>SPECIFICARE MEGLIO QUESITO</t>
  </si>
  <si>
    <t>INSERISCI VALORE</t>
  </si>
  <si>
    <t>DATI REQUISITO: numero di gare svolte per i vari livelli di qualificazione nel quinquennio precedente a quello della domanda di qualificazione</t>
  </si>
  <si>
    <t>DATI REQUISITO: assolvimento degli obblighi di comunicazione dei dati sui contratti pubblici che alimentano le banche dati detenute o gestite dall’Autorità</t>
  </si>
  <si>
    <t>DATI REQUISITO: assolvimento degli obblighi di cui agli articoli 1 e 2 del decreto legislativo 29 dicembre 2011, n. 229, in materia di procedure di monitoraggio sullo stato di attuazione delle opere pubbliche, di verifica dell'utilizzo dei finanziamenti nei tempi previsti e costituzione del Fondo opere e del Fondo progetti</t>
  </si>
  <si>
    <t>DATI REQUISITO: utilizzo di piattaforme telematiche</t>
  </si>
  <si>
    <t>I53_4 - Numero DIPLOMATI TECNICI SOS /numero DIPLOMATI SOS (peso w4=5);</t>
  </si>
  <si>
    <r>
      <t xml:space="preserve">Con riferimento alle gare </t>
    </r>
    <r>
      <rPr>
        <b/>
        <sz val="11"/>
        <color theme="1"/>
        <rFont val="Calibri"/>
        <family val="2"/>
        <scheme val="minor"/>
      </rPr>
      <t>di cui al quesito 2</t>
    </r>
    <r>
      <rPr>
        <sz val="11"/>
        <color theme="1"/>
        <rFont val="Calibri"/>
        <family val="2"/>
        <scheme val="minor"/>
      </rPr>
      <t xml:space="preserve">: indicare il numero di gare con importo a base d'asta &gt;= 150.000 euro e &lt;1.000.000 euro (livello di qualificazione L3) </t>
    </r>
  </si>
  <si>
    <r>
      <t xml:space="preserve">Con riferimento alle gare </t>
    </r>
    <r>
      <rPr>
        <b/>
        <sz val="11"/>
        <color theme="1"/>
        <rFont val="Calibri"/>
        <family val="2"/>
        <scheme val="minor"/>
      </rPr>
      <t>di cui al quesito 2</t>
    </r>
    <r>
      <rPr>
        <sz val="11"/>
        <color theme="1"/>
        <rFont val="Calibri"/>
        <family val="2"/>
        <scheme val="minor"/>
      </rPr>
      <t xml:space="preserve">: indicare il numero di gare con importo a base d'asta &gt;= 1.000.000 euro (livelli di qualificazione L2 e L1) </t>
    </r>
  </si>
  <si>
    <t>COMPETENZE</t>
  </si>
  <si>
    <t>FORMAZIONE</t>
  </si>
  <si>
    <t>UTILIZZO PIATTAFORMA TELEMATICA</t>
  </si>
  <si>
    <t>MONITORAGGIO RGS</t>
  </si>
  <si>
    <r>
      <t xml:space="preserve">Numero gare </t>
    </r>
    <r>
      <rPr>
        <b/>
        <sz val="11"/>
        <rFont val="Calibri"/>
        <family val="2"/>
        <scheme val="minor"/>
      </rPr>
      <t>BANDITE</t>
    </r>
    <r>
      <rPr>
        <sz val="11"/>
        <rFont val="Calibri"/>
        <family val="2"/>
        <scheme val="minor"/>
      </rPr>
      <t xml:space="preserve"> nell'ultimo quinquennio di importo a base d'asta* &gt;=150.000 euro</t>
    </r>
  </si>
  <si>
    <t>I56_2 - Numero gare aggiudicate (scheda aggiudicazione)/numero gare bandite (che non hanno comunicato esito negativo)  (peso 50);</t>
  </si>
  <si>
    <t xml:space="preserve">I58_2 - Numero di gare svolte mediante “piattaforme telematiche di negoziazione Art.58” aventi importo corrispondente al livello di qualificazione base (L3) compreso tra 150.000 euro e 1.000.000 di euro (peso 30); </t>
  </si>
  <si>
    <t xml:space="preserve">I58_3 - Numero di gare svolte mediante “piattaforme telematiche di negoziazione Art.58” aventi importo corrispondente ai livelli di qualificazione medio e alto (L2 e L1), ovvero da 1.000.000 di euro in poi (peso 40). </t>
  </si>
  <si>
    <t>I56_1 - Numero gare bandite per le quali risulta comunicazione dell'esito/numero gare bandite (peso 50);</t>
  </si>
  <si>
    <t>I53_prod -  Numero gare aggiudicate nel quinquennio ponderate sulla base della complessità della specifica procedura / numero dipendenti SOS (peso w1prod =75)"</t>
  </si>
  <si>
    <t>I55_3 - Numero di gare con esito non positivo / numero complessivo di gare bandite (peso 5);</t>
  </si>
  <si>
    <t>b0</t>
  </si>
  <si>
    <t>b1</t>
  </si>
  <si>
    <t>b2</t>
  </si>
  <si>
    <t>b3</t>
  </si>
  <si>
    <t>b4</t>
  </si>
  <si>
    <t>b5</t>
  </si>
  <si>
    <t>b6</t>
  </si>
  <si>
    <t>b7</t>
  </si>
  <si>
    <t>Dettaglio/NOTE</t>
  </si>
  <si>
    <t>*forzato il valore a 100 sopra una soglia prossima al limite superiore</t>
  </si>
  <si>
    <t>5.3 SOS - PROFESSIONALITA' (PESO REQUISITO 20)</t>
  </si>
  <si>
    <t>I53_prod -  Numero gare aggiudicate nel quinquennio ponderate sulla base della complessità della specifica procedura / Numero dipendenti SOS (peso w1prod =75).</t>
  </si>
  <si>
    <t>x &lt;= 393.085</t>
  </si>
  <si>
    <t>x &gt; 393.085</t>
  </si>
  <si>
    <t>5.4 FORMAZIONE NEL TRIENNIO  (PESO REQUISITO 20)</t>
  </si>
  <si>
    <t>5.5 ESPERIENZA GARE  (PESO REQUISITO 40)</t>
  </si>
  <si>
    <t>x &lt;= 1100</t>
  </si>
  <si>
    <t>1100 &lt; x &lt;= 4200</t>
  </si>
  <si>
    <t>4200 &lt; x &lt;= 20000</t>
  </si>
  <si>
    <t>x&gt;20000</t>
  </si>
  <si>
    <t>5.6 COMUNICAZIONE ANAC  (PESO REQUISITO 5)</t>
  </si>
  <si>
    <t>5.7 MONITORAGGIO RGS  (PESO REQUISITO 5)</t>
  </si>
  <si>
    <t>5.8 PIATTAFORMA TELEMATICA  (PESO REQUISITO 10)</t>
  </si>
  <si>
    <t xml:space="preserve">Intercept Intercept 1 </t>
  </si>
  <si>
    <t xml:space="preserve">OEPV_APERTA   1 </t>
  </si>
  <si>
    <t xml:space="preserve">OEPV_RISTRETTA   1 </t>
  </si>
  <si>
    <t xml:space="preserve">MAX_APERTA   1 </t>
  </si>
  <si>
    <t xml:space="preserve">MAX_RISTRETTA   1 </t>
  </si>
  <si>
    <t>MAX_NEGOZIATA   1</t>
  </si>
  <si>
    <t xml:space="preserve">L1   1 </t>
  </si>
  <si>
    <t>L2   1</t>
  </si>
  <si>
    <t>NC_APERTA</t>
  </si>
  <si>
    <t xml:space="preserve"> = max_APERTA=</t>
  </si>
  <si>
    <t>NC_nEGOZIATA = MAX_NEGOZIATA=</t>
  </si>
  <si>
    <t>NC_ristretta = MAX_RISTRETTA=</t>
  </si>
  <si>
    <t>NC_nc</t>
  </si>
  <si>
    <t xml:space="preserve"> = MAX_NEGOZIATA=</t>
  </si>
  <si>
    <t xml:space="preserve">OEPV_ProcAltro= OEPV_APERTA = </t>
  </si>
  <si>
    <t>MAX_ProcAltro=</t>
  </si>
  <si>
    <t>MAX_APERTA=</t>
  </si>
  <si>
    <t>L3</t>
  </si>
  <si>
    <t>L2</t>
  </si>
  <si>
    <t>L1</t>
  </si>
  <si>
    <t>Numero dipendenti della Struttura Organizzativa Stabile che hanno fruito di formazione BASE</t>
  </si>
  <si>
    <t>Numero dipendenti della Struttura Organizzativa Stabile che hanno fruito di formazione SPECIALISTICA</t>
  </si>
  <si>
    <t>Numero dipendenti della Struttura Organizzativa Stabileche hanno fruito di formazione AVANZATA</t>
  </si>
  <si>
    <t>Punteggio Complessivo Requisito</t>
  </si>
  <si>
    <t>Indicatore</t>
  </si>
  <si>
    <r>
      <t xml:space="preserve">DATI REQUISITO: presenza nella struttura organizzativa di dipendenti aventi specifiche competenze 
</t>
    </r>
    <r>
      <rPr>
        <b/>
        <i/>
        <sz val="9"/>
        <color theme="3" tint="-0.499984740745262"/>
        <rFont val="Calibri"/>
        <family val="2"/>
        <scheme val="minor"/>
      </rPr>
      <t>(alla data del ggmmaaaa)</t>
    </r>
  </si>
  <si>
    <r>
      <t xml:space="preserve">DATI REQUISITO: sistema di formazione e aggiornamento del personale 
</t>
    </r>
    <r>
      <rPr>
        <b/>
        <i/>
        <sz val="9"/>
        <color theme="3" tint="-0.499984740745262"/>
        <rFont val="Calibri"/>
        <family val="2"/>
        <scheme val="minor"/>
      </rPr>
      <t>(dati ultimo triennio)</t>
    </r>
  </si>
  <si>
    <t>Offerta economicamente più vantaggiosa</t>
  </si>
  <si>
    <t>Massimo ribasso</t>
  </si>
  <si>
    <t>Aperta</t>
  </si>
  <si>
    <t>Negoziata</t>
  </si>
  <si>
    <t>Ristretta</t>
  </si>
  <si>
    <t xml:space="preserve">Altra procedura </t>
  </si>
  <si>
    <t>Procedura di scelta del contraente</t>
  </si>
  <si>
    <t>Criterio di scelta del contraente</t>
  </si>
  <si>
    <t>&gt;= 150.000 euro e &lt; 1.000.000 
(livello L3)</t>
  </si>
  <si>
    <t>&gt;= 1.000.000 e &lt;soglia comunitaria 
(livello L2)</t>
  </si>
  <si>
    <t>&gt;=soglia comunitaria 
(livello L1)</t>
  </si>
  <si>
    <t>Punteggio TOTALE</t>
  </si>
  <si>
    <t>Percentuale media di ritardo nei tempi amministrativi rispetto ai valori attesi ottenuti tramite l'analisi dei dati presenti su BDNCP**</t>
  </si>
  <si>
    <r>
      <t xml:space="preserve">Numero gare </t>
    </r>
    <r>
      <rPr>
        <b/>
        <sz val="11"/>
        <rFont val="Calibri"/>
        <family val="2"/>
        <scheme val="minor"/>
      </rPr>
      <t>BANDITE</t>
    </r>
    <r>
      <rPr>
        <sz val="11"/>
        <rFont val="Calibri"/>
        <family val="2"/>
        <scheme val="minor"/>
      </rPr>
      <t xml:space="preserve"> nell'ultimo quinquennio di importo a base d'asta &gt;=150.000 euro</t>
    </r>
  </si>
  <si>
    <t>Classi d'importo/Livelli di qualificazione</t>
  </si>
  <si>
    <t>** Il dato non è direttamente conoscibile dalla Amministrazione - per tale ragione è stato precompilato il campo cun un valore "medio" (45%)</t>
  </si>
  <si>
    <t>Inserire valori</t>
  </si>
  <si>
    <r>
      <t xml:space="preserve">Con riferimento alle gare </t>
    </r>
    <r>
      <rPr>
        <b/>
        <sz val="11"/>
        <rFont val="Calibri"/>
        <family val="2"/>
        <scheme val="minor"/>
      </rPr>
      <t>BANDITE</t>
    </r>
    <r>
      <rPr>
        <sz val="11"/>
        <rFont val="Calibri"/>
        <family val="2"/>
        <scheme val="minor"/>
      </rPr>
      <t xml:space="preserve"> di cui punto 1: indicare il  numero di gare per le quali è stato comunicato l'</t>
    </r>
    <r>
      <rPr>
        <b/>
        <sz val="11"/>
        <rFont val="Calibri"/>
        <family val="2"/>
        <scheme val="minor"/>
      </rPr>
      <t>ESITO</t>
    </r>
    <r>
      <rPr>
        <sz val="11"/>
        <rFont val="Calibri"/>
        <family val="2"/>
        <scheme val="minor"/>
      </rPr>
      <t xml:space="preserve"> all'Autorità (BDNCP)</t>
    </r>
  </si>
  <si>
    <t>Con riferimento alle gare AGGIUDICATE di cui al punto 4: inserire in ciascuna cella della sottostante tabella il numero di gare AGGIUDICATE specificando la PROCEDURA di scelta del contraente, il CRITERIO di aggiudicazione e la CLASSE D'IMPORTO (LIVELLO DI QUALIFICAZIONE) a cui appartiene la base d'asta</t>
  </si>
  <si>
    <r>
      <t xml:space="preserve">Con riferimento alle gare </t>
    </r>
    <r>
      <rPr>
        <b/>
        <sz val="11"/>
        <color theme="1"/>
        <rFont val="Calibri"/>
        <family val="2"/>
        <scheme val="minor"/>
      </rPr>
      <t>BANDITE</t>
    </r>
    <r>
      <rPr>
        <sz val="11"/>
        <color theme="1"/>
        <rFont val="Calibri"/>
        <family val="2"/>
        <scheme val="minor"/>
      </rPr>
      <t xml:space="preserve">  (quesito 1-foglio "Gare"): indicare il numero gare per le quali è stato comunicato il dato relativo allo</t>
    </r>
    <r>
      <rPr>
        <b/>
        <sz val="11"/>
        <color theme="1"/>
        <rFont val="Calibri"/>
        <family val="2"/>
        <scheme val="minor"/>
      </rPr>
      <t xml:space="preserve"> "strumento per lo svolgimento delle procedure"*</t>
    </r>
  </si>
  <si>
    <t>*considerare le gare per le quali è stato comunicato il dato il dato cod. 13.2-""STRUMENTI PER LO SVOLGIMENTO DELLE PROCEDURE"" della scheda S01-""CREAZIONE GARA"", del Manuale SIMOG (dato obbligatorio a partire da luglio 2019);</t>
  </si>
  <si>
    <t>**considerare il dato comunicato con la scheda S01-""CREAZIONE GARA"", cod. 13.2-""STRUMENTI PER LO SVOLGIMENTO DELLE PROCEDURE"" del Manuale SIMOG;</t>
  </si>
  <si>
    <r>
      <t xml:space="preserve">Con riferimento alle gare </t>
    </r>
    <r>
      <rPr>
        <b/>
        <sz val="11"/>
        <color theme="1"/>
        <rFont val="Calibri"/>
        <family val="2"/>
        <scheme val="minor"/>
      </rPr>
      <t>di cui al quesito 1</t>
    </r>
    <r>
      <rPr>
        <sz val="11"/>
        <color theme="1"/>
        <rFont val="Calibri"/>
        <family val="2"/>
        <scheme val="minor"/>
      </rPr>
      <t xml:space="preserve">: indicare il numero gare per le quali è stata utilizzata la </t>
    </r>
    <r>
      <rPr>
        <b/>
        <sz val="11"/>
        <color theme="1"/>
        <rFont val="Calibri"/>
        <family val="2"/>
        <scheme val="minor"/>
      </rPr>
      <t xml:space="preserve">PIATTAFORMA TELEMATICA DI NEGOZIAZIONE </t>
    </r>
    <r>
      <rPr>
        <sz val="11"/>
        <color theme="1"/>
        <rFont val="Calibri"/>
        <family val="2"/>
        <scheme val="minor"/>
      </rPr>
      <t>di cui all'art. 58 del d.lgs. n. 50/2016**</t>
    </r>
  </si>
  <si>
    <t>Numero COMPLESSIVO dipendenti Stazione Appaltante</t>
  </si>
  <si>
    <t>Numero COMPLESSIVO dipendenti Struttura Organizzativa Stabile (SOS)</t>
  </si>
  <si>
    <t>di cui dirigenti (SOS)</t>
  </si>
  <si>
    <t>di cui funzionari (SOS)</t>
  </si>
  <si>
    <t>di cui impiegati  (SOS)</t>
  </si>
  <si>
    <t>Numero laureati SPECIALISTICA (SOS)</t>
  </si>
  <si>
    <t>Numero laureati 1 LIVELLO (SOS)</t>
  </si>
  <si>
    <t>Numero DIPLOMATI  (SOS)</t>
  </si>
  <si>
    <t>Numero dipendenti ESPERTI (con più di 5 anni di ESPERIENZA negli ambiti e settori di qualificazione)  (SOS)</t>
  </si>
  <si>
    <t>Numero dipendenti MASTER I Livello (SOS)</t>
  </si>
  <si>
    <t>Numero dipendenti MASTER II Livello o DOTTORATO DI RICERCA  (SOS)</t>
  </si>
  <si>
    <t>Numero dipendenti ISCRITTI ALBO PROFESSIONALE/ORDINE  (SOS)</t>
  </si>
  <si>
    <t>Numero dipendenti adeguata competenza in PROJECT MANAGEMENT  (SOS)</t>
  </si>
  <si>
    <t>di cui DIPLOMATI TECNICI (SOS)</t>
  </si>
  <si>
    <r>
      <t xml:space="preserve">Per attività formative si intendono corsi di formazione, di perfezionamento, di specializzazione, diplomi, master, anche da remoto (con esclusione delle attività convegnistiche), che abbiano ad oggetto le seguenti materie: 
•             Il codice dei contratti pubblici
•             Analisi economica dei contratti pubblici
•             E-procurement pubblico
•             Il Project management
</t>
    </r>
    <r>
      <rPr>
        <b/>
        <i/>
        <sz val="9"/>
        <color theme="1"/>
        <rFont val="Calibri"/>
        <family val="2"/>
        <scheme val="minor"/>
      </rPr>
      <t>Formazione base</t>
    </r>
    <r>
      <rPr>
        <i/>
        <sz val="9"/>
        <color theme="1"/>
        <rFont val="Calibri"/>
        <family val="2"/>
        <scheme val="minor"/>
      </rPr>
      <t xml:space="preserve">
Attività formative che prevedano il rilascio di un attestato di partecipazione, che abbiano una durata complessiva di almeno 20 ore, realizzate anche in modalità FAD. Per il computo delle ore sono valutabili anche attività formative di durata inferiore, purché di almeno 4 ore e che prevedano il rilascio dell’attestato di partecipazione. 
</t>
    </r>
    <r>
      <rPr>
        <b/>
        <i/>
        <sz val="9"/>
        <color theme="1"/>
        <rFont val="Calibri"/>
        <family val="2"/>
        <scheme val="minor"/>
      </rPr>
      <t>Formazione specialistica</t>
    </r>
    <r>
      <rPr>
        <i/>
        <sz val="9"/>
        <color theme="1"/>
        <rFont val="Calibri"/>
        <family val="2"/>
        <scheme val="minor"/>
      </rPr>
      <t xml:space="preserve">
Corsi di formazione con attestato di superamento di una prova di valutazione finale, che abbiano una durata complessiva di almeno 60 ore, erogati anche a distanza purché con modalità sincrona interattiva. A titolo esemplificativo: master di I° livello, corsi di perfezionamento universitario, corsi avanzati SNA, purché, singolarmente considerati, di durata non inferiore a 30 ore.
</t>
    </r>
    <r>
      <rPr>
        <b/>
        <i/>
        <sz val="9"/>
        <color theme="1"/>
        <rFont val="Calibri"/>
        <family val="2"/>
        <scheme val="minor"/>
      </rPr>
      <t>Formazione avanzata</t>
    </r>
    <r>
      <rPr>
        <i/>
        <sz val="9"/>
        <color theme="1"/>
        <rFont val="Calibri"/>
        <family val="2"/>
        <scheme val="minor"/>
      </rPr>
      <t xml:space="preserve">
Diploma di esperto in appalti pubblici SNA e Master universitari di II° livello, con prova di valutazione finale, della durata di almeno 120 ore.
</t>
    </r>
  </si>
  <si>
    <t>Dati precaricati dal foglio GARE</t>
  </si>
  <si>
    <t>Inserire valori 
(0-100)</t>
  </si>
  <si>
    <t>numero di gare svolte per i vari livelli di qualificazione nel quinquennio precedente a quello della domanda di qualificazione</t>
  </si>
  <si>
    <t xml:space="preserve">presenza nella struttura organizzativa di dipendenti aventi specifiche competenze </t>
  </si>
  <si>
    <t xml:space="preserve">sistema di formazione e aggiornamento del personale </t>
  </si>
  <si>
    <t>assolvimento degli obblighi di comunicazione dei dati sui contratti pubblici che alimentano le banche dati detenute o gestite dall’Autorità</t>
  </si>
  <si>
    <t>assolvimento degli obblighi di cui agli articoli 1 e 2 del decreto legislativo 29 dicembre 2011, n. 229, in materia di procedure di monitoraggio sullo stato di attuazione delle opere pubbliche, di verifica dell'utilizzo dei finanziamenti nei tempi previsti e costituzione del Fondo opere e del Fondo progetti</t>
  </si>
  <si>
    <t>utilizzo di piattaforme telematiche</t>
  </si>
  <si>
    <t>Requisito</t>
  </si>
  <si>
    <t>Punteggio complessivo</t>
  </si>
  <si>
    <t>GARE</t>
  </si>
  <si>
    <r>
      <t xml:space="preserve">Con riferimento alle gare di cui al punto 2 indicare il  numero di gare per le quali è stato comunicato un </t>
    </r>
    <r>
      <rPr>
        <b/>
        <sz val="11"/>
        <rFont val="Calibri"/>
        <family val="2"/>
        <scheme val="minor"/>
      </rPr>
      <t>ESITO NEGATIVO*</t>
    </r>
  </si>
  <si>
    <r>
      <t xml:space="preserve">Con riferimento alle gare di cui al punto 2 indicare il  numero di gare per le quali è stato comunicato un </t>
    </r>
    <r>
      <rPr>
        <b/>
        <sz val="11"/>
        <rFont val="Calibri"/>
        <family val="2"/>
        <scheme val="minor"/>
      </rPr>
      <t>ESITO NEGATIVO</t>
    </r>
    <r>
      <rPr>
        <sz val="11"/>
        <rFont val="Calibri"/>
        <family val="2"/>
        <scheme val="minor"/>
      </rPr>
      <t>*</t>
    </r>
  </si>
  <si>
    <r>
      <t xml:space="preserve">Con riferimento alle gare di cui al punto 2 indicare il  numero di gare per le quali è stata comunicata la scheda di </t>
    </r>
    <r>
      <rPr>
        <b/>
        <sz val="11"/>
        <rFont val="Calibri"/>
        <family val="2"/>
        <scheme val="minor"/>
      </rPr>
      <t>AGGIUDICAZIONE</t>
    </r>
  </si>
  <si>
    <t>COMUNICAZIONE ANAC</t>
  </si>
  <si>
    <t>Punteggio Requisito</t>
  </si>
  <si>
    <t>Punteggio Indicatore</t>
  </si>
  <si>
    <t>Il calcolo per ottenere il valore del punteggio associato ad ogni specifico indice lo si ottiene inserendo il valore dell'indice (x) in un polinomio (P(x)) del tipo P(x)=b_0+b_1 x+b_2 x^2+b_3 x^3+b_4 x^4+b_5 x^5+b_6 x^6+b_7 x^7 utilizzando i parametre b_* riportati nella tabella. 
Le formule di ciascun polinomio rappresentano l'approssimazione matematica ottenuta a partire dal calcolo delle funzioni di ripartizioni empiriche come descritte nelle Linee Guida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</si>
</sst>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00"/>
    <numFmt numFmtId="165" formatCode="0.000"/>
    <numFmt numFmtId="166" formatCode="0.0"/>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b/>
      <u/>
      <sz val="1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1"/>
      <color theme="1"/>
      <name val="Calibri"/>
      <family val="2"/>
      <scheme val="minor"/>
    </font>
    <font>
      <b/>
      <i/>
      <sz val="11"/>
      <color theme="3" tint="-0.499984740745262"/>
      <name val="Calibri"/>
      <family val="2"/>
      <scheme val="minor"/>
    </font>
    <font>
      <b/>
      <i/>
      <sz val="9"/>
      <color theme="3" tint="-0.499984740745262"/>
      <name val="Calibri"/>
      <family val="2"/>
      <scheme val="minor"/>
    </font>
    <font>
      <b/>
      <sz val="11"/>
      <color theme="3" tint="-0.499984740745262"/>
      <name val="Calibri"/>
      <family val="2"/>
      <scheme val="minor"/>
    </font>
    <font>
      <sz val="11"/>
      <color theme="3" tint="-0.499984740745262"/>
      <name val="Calibri"/>
      <family val="2"/>
      <scheme val="minor"/>
    </font>
    <font>
      <b/>
      <sz val="24"/>
      <color theme="3" tint="-0.499984740745262"/>
      <name val="Calibri"/>
      <family val="2"/>
      <scheme val="minor"/>
    </font>
    <font>
      <sz val="9"/>
      <color theme="3" tint="-0.499984740745262"/>
      <name val="Calibri"/>
      <family val="2"/>
      <scheme val="minor"/>
    </font>
    <font>
      <sz val="10"/>
      <name val="Calibri"/>
      <family val="2"/>
      <scheme val="minor"/>
    </font>
    <font>
      <b/>
      <sz val="26"/>
      <color theme="3" tint="-0.499984740745262"/>
      <name val="Calibri"/>
      <family val="2"/>
      <scheme val="minor"/>
    </font>
    <font>
      <b/>
      <sz val="28"/>
      <name val="Calibri"/>
      <family val="2"/>
      <scheme val="minor"/>
    </font>
    <font>
      <b/>
      <sz val="24"/>
      <name val="Calibri"/>
      <family val="2"/>
      <scheme val="minor"/>
    </font>
    <font>
      <b/>
      <sz val="20"/>
      <color theme="1"/>
      <name val="Calibri"/>
      <family val="2"/>
      <scheme val="minor"/>
    </font>
    <font>
      <b/>
      <sz val="10"/>
      <color rgb="FFFF0000"/>
      <name val="Calibri"/>
      <family val="2"/>
      <scheme val="minor"/>
    </font>
    <font>
      <i/>
      <sz val="9"/>
      <color theme="1"/>
      <name val="Calibri"/>
      <family val="2"/>
      <scheme val="minor"/>
    </font>
    <font>
      <b/>
      <i/>
      <sz val="9"/>
      <color theme="1"/>
      <name val="Calibri"/>
      <family val="2"/>
      <scheme val="minor"/>
    </font>
    <font>
      <i/>
      <sz val="9"/>
      <name val="Calibri"/>
      <family val="2"/>
      <scheme val="minor"/>
    </font>
    <font>
      <b/>
      <sz val="8"/>
      <color rgb="FFFF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03">
    <xf numFmtId="0" fontId="0" fillId="0" borderId="0" xfId="0"/>
    <xf numFmtId="0" fontId="0" fillId="2" borderId="0" xfId="0" applyFill="1"/>
    <xf numFmtId="0" fontId="0" fillId="0" borderId="0" xfId="0" applyAlignment="1">
      <alignment horizontal="left"/>
    </xf>
    <xf numFmtId="0" fontId="2" fillId="0" borderId="0" xfId="0" applyFont="1"/>
    <xf numFmtId="0" fontId="1" fillId="0" borderId="0" xfId="0" applyFont="1"/>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xf>
    <xf numFmtId="0" fontId="0" fillId="5" borderId="1" xfId="0" applyFill="1" applyBorder="1"/>
    <xf numFmtId="0" fontId="0" fillId="5" borderId="1" xfId="0"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0" borderId="0" xfId="0" applyFont="1" applyAlignment="1">
      <alignment horizontal="left" wrapText="1"/>
    </xf>
    <xf numFmtId="0" fontId="0" fillId="0" borderId="0" xfId="0" applyBorder="1"/>
    <xf numFmtId="0" fontId="3" fillId="0" borderId="0" xfId="0" applyFont="1" applyFill="1" applyBorder="1" applyAlignment="1">
      <alignment horizontal="left" vertical="center"/>
    </xf>
    <xf numFmtId="0" fontId="6" fillId="0" borderId="0" xfId="0" applyFont="1" applyBorder="1" applyAlignment="1">
      <alignment horizontal="left" vertical="center" wrapText="1"/>
    </xf>
    <xf numFmtId="0" fontId="2" fillId="4" borderId="1" xfId="0" applyFont="1" applyFill="1" applyBorder="1" applyAlignment="1">
      <alignment horizontal="center" vertical="center"/>
    </xf>
    <xf numFmtId="0" fontId="0" fillId="4" borderId="1" xfId="0"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center" vertical="center"/>
    </xf>
    <xf numFmtId="0" fontId="0" fillId="0" borderId="0" xfId="0" applyFill="1"/>
    <xf numFmtId="0" fontId="0" fillId="0" borderId="0" xfId="0" applyAlignment="1">
      <alignment vertical="center" wrapText="1"/>
    </xf>
    <xf numFmtId="0" fontId="0" fillId="0" borderId="1" xfId="0" applyBorder="1"/>
    <xf numFmtId="0" fontId="4" fillId="0" borderId="1"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6" borderId="0" xfId="0" applyFill="1"/>
    <xf numFmtId="164" fontId="0" fillId="0" borderId="0" xfId="0" applyNumberFormat="1"/>
    <xf numFmtId="2" fontId="10" fillId="0" borderId="0" xfId="0" applyNumberFormat="1" applyFont="1" applyAlignment="1">
      <alignment horizontal="center" vertical="center"/>
    </xf>
    <xf numFmtId="0" fontId="0" fillId="7" borderId="0" xfId="0" applyFill="1"/>
    <xf numFmtId="11" fontId="1" fillId="0" borderId="0" xfId="0" applyNumberFormat="1" applyFont="1"/>
    <xf numFmtId="0" fontId="0" fillId="3" borderId="0" xfId="0" applyFill="1"/>
    <xf numFmtId="0" fontId="1" fillId="3" borderId="0" xfId="0" applyFont="1" applyFill="1"/>
    <xf numFmtId="0" fontId="6" fillId="3" borderId="0" xfId="0" applyFont="1" applyFill="1"/>
    <xf numFmtId="3" fontId="0" fillId="3" borderId="0" xfId="0" applyNumberFormat="1" applyFill="1"/>
    <xf numFmtId="0" fontId="11" fillId="3" borderId="0" xfId="0" applyFont="1" applyFill="1"/>
    <xf numFmtId="0" fontId="2" fillId="3" borderId="0" xfId="0" applyFont="1" applyFill="1"/>
    <xf numFmtId="0" fontId="1" fillId="2" borderId="0" xfId="0" applyFont="1" applyFill="1"/>
    <xf numFmtId="11" fontId="0" fillId="0" borderId="0" xfId="0" applyNumberFormat="1"/>
    <xf numFmtId="11" fontId="1" fillId="0" borderId="0" xfId="0" applyNumberFormat="1" applyFont="1" applyFill="1"/>
    <xf numFmtId="0" fontId="1" fillId="0" borderId="0" xfId="0" applyFont="1" applyFill="1"/>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vertical="center"/>
    </xf>
    <xf numFmtId="0" fontId="2" fillId="0" borderId="10" xfId="0" applyFont="1" applyBorder="1" applyAlignment="1">
      <alignment vertical="center" wrapText="1"/>
    </xf>
    <xf numFmtId="0" fontId="0" fillId="0" borderId="5" xfId="0" applyBorder="1" applyAlignment="1">
      <alignment vertical="center"/>
    </xf>
    <xf numFmtId="0" fontId="0" fillId="0" borderId="12" xfId="0" applyBorder="1" applyAlignment="1">
      <alignment vertical="center" wrapText="1"/>
    </xf>
    <xf numFmtId="0" fontId="3" fillId="0" borderId="12" xfId="0" applyFont="1" applyBorder="1" applyAlignment="1">
      <alignment vertical="center"/>
    </xf>
    <xf numFmtId="0" fontId="3" fillId="0" borderId="0" xfId="0" applyFont="1" applyBorder="1" applyAlignment="1">
      <alignment vertical="center"/>
    </xf>
    <xf numFmtId="0" fontId="0" fillId="0" borderId="7" xfId="0" applyBorder="1" applyAlignment="1">
      <alignment vertical="center"/>
    </xf>
    <xf numFmtId="11" fontId="3" fillId="0" borderId="0" xfId="0" applyNumberFormat="1" applyFont="1" applyBorder="1" applyAlignment="1">
      <alignment vertical="center"/>
    </xf>
    <xf numFmtId="11" fontId="3" fillId="0" borderId="12" xfId="0" applyNumberFormat="1" applyFont="1" applyBorder="1" applyAlignment="1">
      <alignment vertical="center"/>
    </xf>
    <xf numFmtId="0" fontId="3" fillId="5" borderId="12" xfId="0" applyFont="1" applyFill="1" applyBorder="1" applyAlignment="1">
      <alignment vertical="center"/>
    </xf>
    <xf numFmtId="0" fontId="3" fillId="5" borderId="0" xfId="0" applyFont="1" applyFill="1" applyBorder="1" applyAlignment="1">
      <alignment vertical="center"/>
    </xf>
    <xf numFmtId="0" fontId="0" fillId="5" borderId="7" xfId="0" applyFill="1" applyBorder="1" applyAlignment="1">
      <alignment horizontal="left" vertical="center"/>
    </xf>
    <xf numFmtId="0" fontId="3" fillId="5" borderId="13" xfId="0" applyFont="1" applyFill="1" applyBorder="1" applyAlignment="1">
      <alignment vertical="center"/>
    </xf>
    <xf numFmtId="0" fontId="3" fillId="5" borderId="8" xfId="0" applyFont="1" applyFill="1" applyBorder="1" applyAlignment="1">
      <alignment vertical="center"/>
    </xf>
    <xf numFmtId="0" fontId="0" fillId="5" borderId="6" xfId="0" applyFill="1" applyBorder="1" applyAlignment="1">
      <alignment horizontal="lef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4" xfId="0" applyFont="1" applyBorder="1" applyAlignment="1">
      <alignment vertical="center"/>
    </xf>
    <xf numFmtId="0" fontId="0" fillId="0" borderId="14" xfId="0" applyBorder="1" applyAlignment="1">
      <alignment vertical="center"/>
    </xf>
    <xf numFmtId="0" fontId="0" fillId="0" borderId="13" xfId="0" applyBorder="1" applyAlignment="1">
      <alignment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0" fillId="0" borderId="15" xfId="0" applyBorder="1" applyAlignment="1">
      <alignment vertical="center"/>
    </xf>
    <xf numFmtId="0" fontId="3" fillId="5" borderId="14" xfId="0" applyFont="1" applyFill="1" applyBorder="1" applyAlignment="1">
      <alignment vertical="center"/>
    </xf>
    <xf numFmtId="0" fontId="0" fillId="5" borderId="14" xfId="0" applyFill="1" applyBorder="1" applyAlignment="1">
      <alignment vertical="center"/>
    </xf>
    <xf numFmtId="11" fontId="3" fillId="0" borderId="13" xfId="0" applyNumberFormat="1" applyFont="1" applyBorder="1" applyAlignment="1">
      <alignment vertical="center"/>
    </xf>
    <xf numFmtId="11" fontId="3" fillId="0" borderId="8" xfId="0" applyNumberFormat="1" applyFont="1" applyBorder="1" applyAlignment="1">
      <alignment vertical="center"/>
    </xf>
    <xf numFmtId="0" fontId="3" fillId="0" borderId="8" xfId="0" applyFont="1" applyFill="1" applyBorder="1" applyAlignment="1">
      <alignment vertical="center"/>
    </xf>
    <xf numFmtId="0" fontId="3" fillId="0" borderId="15" xfId="0" applyFont="1" applyFill="1" applyBorder="1" applyAlignment="1">
      <alignment vertical="center"/>
    </xf>
    <xf numFmtId="0" fontId="0" fillId="0" borderId="15" xfId="0" applyFill="1" applyBorder="1" applyAlignment="1">
      <alignment vertical="center"/>
    </xf>
    <xf numFmtId="11" fontId="0" fillId="0" borderId="0" xfId="0" applyNumberFormat="1" applyAlignment="1">
      <alignment vertical="center"/>
    </xf>
    <xf numFmtId="164" fontId="0" fillId="2" borderId="0" xfId="0" applyNumberFormat="1" applyFill="1"/>
    <xf numFmtId="3" fontId="0" fillId="0" borderId="0" xfId="0" applyNumberFormat="1"/>
    <xf numFmtId="0" fontId="3" fillId="4" borderId="7" xfId="0" applyFont="1" applyFill="1" applyBorder="1" applyAlignment="1">
      <alignment horizontal="center" vertical="center" wrapText="1"/>
    </xf>
    <xf numFmtId="2" fontId="0" fillId="0" borderId="0" xfId="0" applyNumberFormat="1"/>
    <xf numFmtId="4" fontId="2" fillId="0" borderId="0" xfId="0" applyNumberFormat="1" applyFont="1"/>
    <xf numFmtId="4" fontId="0" fillId="6" borderId="0" xfId="0" applyNumberFormat="1" applyFill="1"/>
    <xf numFmtId="4" fontId="0" fillId="7" borderId="0" xfId="0" applyNumberFormat="1" applyFill="1"/>
    <xf numFmtId="0" fontId="15" fillId="0" borderId="1" xfId="0" applyFont="1" applyBorder="1" applyAlignment="1">
      <alignment horizontal="center" vertical="center"/>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3" fillId="9" borderId="0" xfId="0" applyFont="1" applyFill="1" applyBorder="1" applyAlignment="1">
      <alignment horizontal="center" vertical="center"/>
    </xf>
    <xf numFmtId="0" fontId="8" fillId="9" borderId="0"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0" fillId="9" borderId="0" xfId="0" applyFill="1" applyBorder="1"/>
    <xf numFmtId="0" fontId="3" fillId="10" borderId="1" xfId="0" applyFont="1" applyFill="1" applyBorder="1" applyAlignment="1">
      <alignment vertical="center" wrapText="1"/>
    </xf>
    <xf numFmtId="0" fontId="15" fillId="10" borderId="1" xfId="0" applyFont="1" applyFill="1" applyBorder="1" applyAlignment="1">
      <alignment horizontal="center" vertical="center"/>
    </xf>
    <xf numFmtId="2" fontId="0" fillId="5" borderId="1" xfId="0" applyNumberFormat="1" applyFill="1" applyBorder="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wrapText="1"/>
    </xf>
    <xf numFmtId="165" fontId="0" fillId="0" borderId="1" xfId="1" applyNumberFormat="1" applyFont="1" applyBorder="1" applyAlignment="1">
      <alignment horizontal="center" vertical="center"/>
    </xf>
    <xf numFmtId="165" fontId="0" fillId="0" borderId="0" xfId="0" applyNumberFormat="1" applyAlignment="1">
      <alignment horizontal="center" vertical="center"/>
    </xf>
    <xf numFmtId="0" fontId="4" fillId="0" borderId="1" xfId="0" applyFont="1" applyFill="1" applyBorder="1" applyAlignment="1" applyProtection="1">
      <alignment horizontal="center" vertical="center" wrapText="1"/>
    </xf>
    <xf numFmtId="0" fontId="0" fillId="10" borderId="1" xfId="0" applyFill="1" applyBorder="1" applyAlignment="1" applyProtection="1">
      <alignment horizontal="center" vertical="center"/>
    </xf>
    <xf numFmtId="0" fontId="15" fillId="10" borderId="1" xfId="0" applyFont="1" applyFill="1" applyBorder="1" applyAlignment="1">
      <alignment horizontal="center" vertical="center" wrapText="1"/>
    </xf>
    <xf numFmtId="0" fontId="3" fillId="10" borderId="1" xfId="0" applyFont="1" applyFill="1" applyBorder="1" applyAlignment="1" applyProtection="1">
      <alignment vertical="center" wrapText="1"/>
    </xf>
    <xf numFmtId="0" fontId="3" fillId="10" borderId="2" xfId="0" applyFont="1" applyFill="1" applyBorder="1" applyAlignment="1" applyProtection="1">
      <alignment vertical="center" wrapText="1"/>
    </xf>
    <xf numFmtId="0" fontId="15" fillId="8" borderId="2" xfId="0" applyFont="1" applyFill="1" applyBorder="1" applyAlignment="1">
      <alignment horizontal="center" vertical="center"/>
    </xf>
    <xf numFmtId="0" fontId="15" fillId="7" borderId="1"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5" fillId="7" borderId="1" xfId="0" applyFont="1" applyFill="1" applyBorder="1" applyAlignment="1">
      <alignment horizontal="center" vertical="center" wrapText="1"/>
    </xf>
    <xf numFmtId="0" fontId="16" fillId="10" borderId="1" xfId="0" applyFont="1" applyFill="1" applyBorder="1" applyAlignment="1">
      <alignment vertical="center"/>
    </xf>
    <xf numFmtId="0" fontId="16" fillId="10" borderId="1" xfId="0" applyFont="1" applyFill="1" applyBorder="1" applyAlignment="1">
      <alignment horizontal="left" vertical="center" indent="3"/>
    </xf>
    <xf numFmtId="0" fontId="16"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28" fillId="3" borderId="2" xfId="0" applyFont="1" applyFill="1" applyBorder="1" applyAlignment="1">
      <alignment horizontal="center" vertical="center" wrapText="1"/>
    </xf>
    <xf numFmtId="0" fontId="0" fillId="7" borderId="1" xfId="0" applyFill="1" applyBorder="1" applyAlignment="1">
      <alignment horizontal="center" vertical="center"/>
    </xf>
    <xf numFmtId="0" fontId="2"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0" fontId="9" fillId="0" borderId="0" xfId="0" applyFont="1" applyAlignment="1">
      <alignment horizontal="center" vertical="center"/>
    </xf>
    <xf numFmtId="0" fontId="2" fillId="7" borderId="1" xfId="0" applyFont="1" applyFill="1" applyBorder="1" applyAlignment="1">
      <alignment horizontal="center" vertical="center"/>
    </xf>
    <xf numFmtId="165" fontId="2" fillId="7" borderId="1" xfId="0" applyNumberFormat="1" applyFont="1" applyFill="1" applyBorder="1" applyAlignment="1">
      <alignment horizontal="center" vertical="center" wrapText="1"/>
    </xf>
    <xf numFmtId="0" fontId="6" fillId="0" borderId="0" xfId="0" applyFont="1" applyAlignment="1">
      <alignment vertical="center" wrapText="1"/>
    </xf>
    <xf numFmtId="0" fontId="0" fillId="0" borderId="14" xfId="0" applyBorder="1" applyAlignment="1">
      <alignment horizontal="center" vertical="center"/>
    </xf>
    <xf numFmtId="0" fontId="8" fillId="7" borderId="1"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0" fontId="3" fillId="10" borderId="2" xfId="0" applyFont="1" applyFill="1" applyBorder="1" applyAlignment="1" applyProtection="1">
      <alignment horizontal="left" vertical="center" wrapText="1"/>
    </xf>
    <xf numFmtId="0" fontId="3" fillId="10" borderId="4" xfId="0" applyFont="1" applyFill="1" applyBorder="1" applyAlignment="1" applyProtection="1">
      <alignment horizontal="left" vertical="center" wrapText="1"/>
    </xf>
    <xf numFmtId="0" fontId="3" fillId="8" borderId="1" xfId="0" applyFont="1" applyFill="1" applyBorder="1" applyAlignment="1">
      <alignment horizontal="center" vertical="center" wrapText="1"/>
    </xf>
    <xf numFmtId="0" fontId="3" fillId="10" borderId="1" xfId="0" applyFont="1" applyFill="1" applyBorder="1" applyAlignment="1" applyProtection="1">
      <alignment horizontal="left" vertical="center" wrapText="1"/>
    </xf>
    <xf numFmtId="0" fontId="19" fillId="0" borderId="2"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5" fillId="7"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7" fillId="0" borderId="1" xfId="0" applyFont="1" applyBorder="1" applyAlignment="1">
      <alignment horizontal="left"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2" fontId="21" fillId="0" borderId="5" xfId="0" applyNumberFormat="1" applyFont="1" applyFill="1" applyBorder="1" applyAlignment="1" applyProtection="1">
      <alignment horizontal="center" vertical="center"/>
    </xf>
    <xf numFmtId="2" fontId="21" fillId="0" borderId="7" xfId="0" applyNumberFormat="1" applyFont="1" applyFill="1" applyBorder="1" applyAlignment="1" applyProtection="1">
      <alignment horizontal="center" vertical="center"/>
    </xf>
    <xf numFmtId="2" fontId="21" fillId="0" borderId="6" xfId="0" applyNumberFormat="1" applyFont="1" applyFill="1" applyBorder="1" applyAlignment="1" applyProtection="1">
      <alignment horizontal="center" vertical="center"/>
    </xf>
    <xf numFmtId="0" fontId="24" fillId="10" borderId="1" xfId="0" applyFont="1" applyFill="1" applyBorder="1" applyAlignment="1" applyProtection="1">
      <alignment horizontal="center" vertical="center"/>
    </xf>
    <xf numFmtId="0" fontId="8" fillId="10" borderId="2" xfId="0" applyFont="1" applyFill="1" applyBorder="1" applyAlignment="1" applyProtection="1">
      <alignment horizontal="center" vertical="center" wrapText="1"/>
    </xf>
    <xf numFmtId="0" fontId="8" fillId="10" borderId="4"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9" fontId="3" fillId="10" borderId="2" xfId="2" applyFont="1" applyFill="1" applyBorder="1" applyAlignment="1">
      <alignment horizontal="center" vertical="center" wrapText="1"/>
    </xf>
    <xf numFmtId="9" fontId="3" fillId="10" borderId="3" xfId="2" applyFont="1" applyFill="1" applyBorder="1" applyAlignment="1">
      <alignment horizontal="center" vertical="center" wrapText="1"/>
    </xf>
    <xf numFmtId="9" fontId="3" fillId="10" borderId="4" xfId="2" applyFont="1" applyFill="1" applyBorder="1" applyAlignment="1">
      <alignment horizontal="center" vertical="center" wrapText="1"/>
    </xf>
    <xf numFmtId="2" fontId="20" fillId="9" borderId="1" xfId="0" applyNumberFormat="1"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2" fontId="17" fillId="9" borderId="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2" fontId="22" fillId="0" borderId="5" xfId="0" applyNumberFormat="1" applyFont="1" applyFill="1" applyBorder="1" applyAlignment="1">
      <alignment horizontal="center" vertical="center"/>
    </xf>
    <xf numFmtId="2" fontId="22" fillId="0" borderId="6" xfId="0" applyNumberFormat="1" applyFont="1" applyFill="1" applyBorder="1" applyAlignment="1">
      <alignment horizontal="center" vertical="center"/>
    </xf>
    <xf numFmtId="0" fontId="27" fillId="0" borderId="1" xfId="0" applyFont="1" applyBorder="1" applyAlignment="1">
      <alignment horizontal="left" vertical="center" wrapText="1"/>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165" fontId="2" fillId="0" borderId="1" xfId="0" applyNumberFormat="1" applyFont="1" applyBorder="1" applyAlignment="1">
      <alignment horizontal="center" vertical="center"/>
    </xf>
    <xf numFmtId="165" fontId="23" fillId="0" borderId="5" xfId="1" applyNumberFormat="1" applyFont="1" applyBorder="1" applyAlignment="1">
      <alignment horizontal="center" vertical="center"/>
    </xf>
    <xf numFmtId="165" fontId="23" fillId="0" borderId="7" xfId="1" applyNumberFormat="1" applyFont="1" applyBorder="1" applyAlignment="1">
      <alignment horizontal="center" vertical="center"/>
    </xf>
    <xf numFmtId="165" fontId="23" fillId="0" borderId="6" xfId="1" applyNumberFormat="1" applyFont="1" applyBorder="1" applyAlignment="1">
      <alignment horizontal="center" vertic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0" fontId="8" fillId="4"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4" borderId="5"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0" borderId="0" xfId="0" applyAlignment="1">
      <alignment horizontal="left"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zoomScale="80" zoomScaleNormal="80" workbookViewId="0">
      <selection activeCell="D21" sqref="D21:F21"/>
    </sheetView>
  </sheetViews>
  <sheetFormatPr defaultColWidth="15" defaultRowHeight="24" customHeight="1" x14ac:dyDescent="0.25"/>
  <cols>
    <col min="1" max="1" width="10.28515625" style="15" customWidth="1"/>
    <col min="2" max="3" width="49.28515625" style="2" customWidth="1"/>
    <col min="4" max="6" width="16.42578125" customWidth="1"/>
    <col min="7" max="7" width="23" customWidth="1"/>
    <col min="8" max="8" width="18.42578125" style="99" customWidth="1"/>
    <col min="9" max="9" width="25.5703125" style="99" customWidth="1"/>
  </cols>
  <sheetData>
    <row r="1" spans="1:9" ht="21.75" customHeight="1" x14ac:dyDescent="0.25">
      <c r="A1" s="133" t="s">
        <v>66</v>
      </c>
      <c r="B1" s="133"/>
      <c r="C1" s="133"/>
      <c r="D1" s="133"/>
      <c r="E1" s="133"/>
      <c r="F1" s="133"/>
      <c r="G1" s="133"/>
      <c r="H1" s="97"/>
      <c r="I1" s="97"/>
    </row>
    <row r="2" spans="1:9" ht="38.25" customHeight="1" x14ac:dyDescent="0.25">
      <c r="A2" s="133"/>
      <c r="B2" s="133"/>
      <c r="C2" s="133"/>
      <c r="D2" s="147" t="s">
        <v>150</v>
      </c>
      <c r="E2" s="147"/>
      <c r="F2" s="147"/>
      <c r="G2" s="115" t="s">
        <v>130</v>
      </c>
      <c r="H2" s="98"/>
      <c r="I2" s="98"/>
    </row>
    <row r="3" spans="1:9" ht="30" customHeight="1" x14ac:dyDescent="0.25">
      <c r="A3" s="109">
        <v>1</v>
      </c>
      <c r="B3" s="140" t="s">
        <v>147</v>
      </c>
      <c r="C3" s="140"/>
      <c r="D3" s="139">
        <v>25</v>
      </c>
      <c r="E3" s="139"/>
      <c r="F3" s="139"/>
      <c r="G3" s="158">
        <f>SUM('INDICI-PUNTEGGI'!C21:C23)</f>
        <v>34.683228009398</v>
      </c>
      <c r="H3" s="96"/>
      <c r="I3" s="96"/>
    </row>
    <row r="4" spans="1:9" ht="30" customHeight="1" x14ac:dyDescent="0.25">
      <c r="A4" s="109">
        <v>2</v>
      </c>
      <c r="B4" s="137" t="s">
        <v>151</v>
      </c>
      <c r="C4" s="138"/>
      <c r="D4" s="139">
        <v>22</v>
      </c>
      <c r="E4" s="139"/>
      <c r="F4" s="139"/>
      <c r="G4" s="159"/>
      <c r="H4" s="96"/>
      <c r="I4" s="96"/>
    </row>
    <row r="5" spans="1:9" ht="30" customHeight="1" x14ac:dyDescent="0.25">
      <c r="A5" s="109">
        <v>3</v>
      </c>
      <c r="B5" s="137" t="s">
        <v>183</v>
      </c>
      <c r="C5" s="138"/>
      <c r="D5" s="148">
        <v>2</v>
      </c>
      <c r="E5" s="149"/>
      <c r="F5" s="150"/>
      <c r="G5" s="159"/>
      <c r="H5" s="96"/>
      <c r="I5" s="96"/>
    </row>
    <row r="6" spans="1:9" ht="30" customHeight="1" x14ac:dyDescent="0.25">
      <c r="A6" s="109">
        <v>4</v>
      </c>
      <c r="B6" s="137" t="s">
        <v>185</v>
      </c>
      <c r="C6" s="138"/>
      <c r="D6" s="148">
        <v>20</v>
      </c>
      <c r="E6" s="149"/>
      <c r="F6" s="150"/>
      <c r="G6" s="159"/>
      <c r="H6" s="96"/>
      <c r="I6" s="96"/>
    </row>
    <row r="7" spans="1:9" ht="24" customHeight="1" x14ac:dyDescent="0.25">
      <c r="A7" s="155"/>
      <c r="B7" s="156"/>
      <c r="C7" s="157"/>
      <c r="D7" s="151" t="str">
        <f>IF(SUM(D5:F6)=D4,"","Numero di gare NON COERENTE con il dato indicato al punto 2 - VERIFICARE")</f>
        <v/>
      </c>
      <c r="E7" s="152"/>
      <c r="F7" s="153"/>
      <c r="G7" s="159"/>
      <c r="H7" s="96"/>
      <c r="I7" s="96"/>
    </row>
    <row r="8" spans="1:9" ht="27" customHeight="1" x14ac:dyDescent="0.25">
      <c r="A8" s="144">
        <v>5</v>
      </c>
      <c r="B8" s="141" t="s">
        <v>152</v>
      </c>
      <c r="C8" s="142"/>
      <c r="D8" s="142"/>
      <c r="E8" s="142"/>
      <c r="F8" s="143"/>
      <c r="G8" s="159"/>
      <c r="H8" s="96"/>
      <c r="I8" s="96"/>
    </row>
    <row r="9" spans="1:9" ht="17.25" customHeight="1" x14ac:dyDescent="0.25">
      <c r="A9" s="145"/>
      <c r="B9" s="134" t="s">
        <v>140</v>
      </c>
      <c r="C9" s="134" t="s">
        <v>141</v>
      </c>
      <c r="D9" s="136" t="s">
        <v>148</v>
      </c>
      <c r="E9" s="136"/>
      <c r="F9" s="136"/>
      <c r="G9" s="159"/>
      <c r="H9" s="96"/>
      <c r="I9" s="96"/>
    </row>
    <row r="10" spans="1:9" ht="55.5" customHeight="1" x14ac:dyDescent="0.25">
      <c r="A10" s="145"/>
      <c r="B10" s="135"/>
      <c r="C10" s="135"/>
      <c r="D10" s="116" t="s">
        <v>142</v>
      </c>
      <c r="E10" s="116" t="s">
        <v>143</v>
      </c>
      <c r="F10" s="116" t="s">
        <v>144</v>
      </c>
      <c r="G10" s="159"/>
      <c r="H10" s="96"/>
      <c r="I10" s="96"/>
    </row>
    <row r="11" spans="1:9" ht="18" customHeight="1" x14ac:dyDescent="0.25">
      <c r="A11" s="145"/>
      <c r="B11" s="110" t="s">
        <v>136</v>
      </c>
      <c r="C11" s="110" t="s">
        <v>134</v>
      </c>
      <c r="D11" s="95">
        <v>7</v>
      </c>
      <c r="E11" s="95">
        <v>2</v>
      </c>
      <c r="F11" s="95">
        <v>1</v>
      </c>
      <c r="G11" s="159"/>
      <c r="H11" s="96"/>
      <c r="I11" s="96"/>
    </row>
    <row r="12" spans="1:9" ht="18" customHeight="1" x14ac:dyDescent="0.25">
      <c r="A12" s="145"/>
      <c r="B12" s="110" t="s">
        <v>136</v>
      </c>
      <c r="C12" s="110" t="s">
        <v>135</v>
      </c>
      <c r="D12" s="95">
        <v>1</v>
      </c>
      <c r="E12" s="95">
        <v>1</v>
      </c>
      <c r="F12" s="95"/>
      <c r="G12" s="159"/>
      <c r="H12" s="96"/>
      <c r="I12" s="96"/>
    </row>
    <row r="13" spans="1:9" ht="18" customHeight="1" x14ac:dyDescent="0.25">
      <c r="A13" s="145"/>
      <c r="B13" s="110" t="s">
        <v>137</v>
      </c>
      <c r="C13" s="110" t="s">
        <v>134</v>
      </c>
      <c r="D13" s="95">
        <v>2</v>
      </c>
      <c r="E13" s="95"/>
      <c r="F13" s="95">
        <v>1</v>
      </c>
      <c r="G13" s="159"/>
      <c r="H13" s="96"/>
      <c r="I13" s="96"/>
    </row>
    <row r="14" spans="1:9" ht="18" customHeight="1" x14ac:dyDescent="0.25">
      <c r="A14" s="145"/>
      <c r="B14" s="110" t="s">
        <v>137</v>
      </c>
      <c r="C14" s="110" t="s">
        <v>135</v>
      </c>
      <c r="D14" s="95"/>
      <c r="E14" s="95">
        <v>1</v>
      </c>
      <c r="F14" s="95"/>
      <c r="G14" s="159"/>
      <c r="H14" s="96"/>
      <c r="I14" s="96"/>
    </row>
    <row r="15" spans="1:9" ht="18" customHeight="1" x14ac:dyDescent="0.25">
      <c r="A15" s="145"/>
      <c r="B15" s="110" t="s">
        <v>138</v>
      </c>
      <c r="C15" s="110" t="s">
        <v>134</v>
      </c>
      <c r="D15" s="95"/>
      <c r="E15" s="95">
        <v>2</v>
      </c>
      <c r="F15" s="95"/>
      <c r="G15" s="159"/>
      <c r="H15" s="96"/>
      <c r="I15" s="96"/>
    </row>
    <row r="16" spans="1:9" ht="18" customHeight="1" x14ac:dyDescent="0.25">
      <c r="A16" s="145"/>
      <c r="B16" s="110" t="s">
        <v>138</v>
      </c>
      <c r="C16" s="110" t="s">
        <v>135</v>
      </c>
      <c r="D16" s="95">
        <v>1</v>
      </c>
      <c r="E16" s="95"/>
      <c r="F16" s="95"/>
      <c r="G16" s="159"/>
      <c r="H16" s="96"/>
      <c r="I16" s="96"/>
    </row>
    <row r="17" spans="1:9" ht="18" customHeight="1" x14ac:dyDescent="0.25">
      <c r="A17" s="145"/>
      <c r="B17" s="110" t="s">
        <v>139</v>
      </c>
      <c r="C17" s="110" t="s">
        <v>134</v>
      </c>
      <c r="D17" s="95"/>
      <c r="E17" s="95"/>
      <c r="F17" s="95">
        <v>1</v>
      </c>
      <c r="G17" s="159"/>
      <c r="H17" s="96"/>
      <c r="I17" s="96"/>
    </row>
    <row r="18" spans="1:9" ht="18" customHeight="1" x14ac:dyDescent="0.25">
      <c r="A18" s="146"/>
      <c r="B18" s="110" t="s">
        <v>139</v>
      </c>
      <c r="C18" s="110" t="s">
        <v>135</v>
      </c>
      <c r="D18" s="95"/>
      <c r="E18" s="95"/>
      <c r="F18" s="95"/>
      <c r="G18" s="159"/>
      <c r="H18" s="96"/>
      <c r="I18" s="96"/>
    </row>
    <row r="19" spans="1:9" ht="21.75" customHeight="1" x14ac:dyDescent="0.25">
      <c r="A19" s="155"/>
      <c r="B19" s="156"/>
      <c r="C19" s="157"/>
      <c r="D19" s="151" t="str">
        <f>IF(SUM(D11:F18)=D6,"","Numero gare NON COERENTE con il dato indicato al punto 4 - VERIFICARE")</f>
        <v/>
      </c>
      <c r="E19" s="152"/>
      <c r="F19" s="153"/>
      <c r="G19" s="159"/>
      <c r="H19" s="96"/>
      <c r="I19" s="96"/>
    </row>
    <row r="20" spans="1:9" ht="22.5" customHeight="1" x14ac:dyDescent="0.25">
      <c r="A20" s="144">
        <v>6</v>
      </c>
      <c r="B20" s="162"/>
      <c r="C20" s="163"/>
      <c r="D20" s="161"/>
      <c r="E20" s="161"/>
      <c r="F20" s="161"/>
      <c r="G20" s="159"/>
      <c r="H20" s="96"/>
      <c r="I20" s="96"/>
    </row>
    <row r="21" spans="1:9" ht="32.1" customHeight="1" x14ac:dyDescent="0.25">
      <c r="A21" s="146"/>
      <c r="B21" s="164" t="s">
        <v>146</v>
      </c>
      <c r="C21" s="164"/>
      <c r="D21" s="165">
        <v>0.45</v>
      </c>
      <c r="E21" s="166"/>
      <c r="F21" s="167"/>
      <c r="G21" s="160"/>
      <c r="H21" s="96"/>
      <c r="I21" s="96"/>
    </row>
    <row r="22" spans="1:9" ht="21" customHeight="1" x14ac:dyDescent="0.25">
      <c r="A22" s="154">
        <v>0</v>
      </c>
      <c r="B22" s="154"/>
      <c r="C22" s="154"/>
      <c r="D22" s="154"/>
      <c r="E22" s="154"/>
      <c r="F22" s="154"/>
      <c r="G22" s="154"/>
    </row>
    <row r="23" spans="1:9" ht="21" customHeight="1" x14ac:dyDescent="0.25">
      <c r="A23" s="154" t="s">
        <v>149</v>
      </c>
      <c r="B23" s="154"/>
      <c r="C23" s="154"/>
      <c r="D23" s="154"/>
      <c r="E23" s="154"/>
      <c r="F23" s="154"/>
      <c r="G23" s="154"/>
    </row>
  </sheetData>
  <sheetProtection algorithmName="SHA-512" hashValue="ESepv4ggSOW5nAMnLMbnQv354eOXUmol7uZZcpy7XoGIUZX0ZL0P8pGc9FgGEJoxKjDeALH7s3/sXYVoJNJDWw==" saltValue="uMcZgf6JdsLt/Gk1i5k+QA==" spinCount="100000" sheet="1" objects="1" scenarios="1"/>
  <protectedRanges>
    <protectedRange sqref="D11:F18" name="Intervallo1"/>
    <protectedRange sqref="D3:F6" name="Intervallo2"/>
  </protectedRanges>
  <mergeCells count="28">
    <mergeCell ref="D19:F19"/>
    <mergeCell ref="B6:C6"/>
    <mergeCell ref="D6:F6"/>
    <mergeCell ref="A23:G23"/>
    <mergeCell ref="A7:C7"/>
    <mergeCell ref="D7:F7"/>
    <mergeCell ref="A19:C19"/>
    <mergeCell ref="G3:G21"/>
    <mergeCell ref="B5:C5"/>
    <mergeCell ref="D20:F20"/>
    <mergeCell ref="B20:C20"/>
    <mergeCell ref="A20:A21"/>
    <mergeCell ref="A22:G22"/>
    <mergeCell ref="B21:C21"/>
    <mergeCell ref="D21:F21"/>
    <mergeCell ref="A1:G1"/>
    <mergeCell ref="B9:B10"/>
    <mergeCell ref="C9:C10"/>
    <mergeCell ref="D9:F9"/>
    <mergeCell ref="B4:C4"/>
    <mergeCell ref="D4:F4"/>
    <mergeCell ref="A2:C2"/>
    <mergeCell ref="B3:C3"/>
    <mergeCell ref="B8:F8"/>
    <mergeCell ref="A8:A18"/>
    <mergeCell ref="D2:F2"/>
    <mergeCell ref="D3:F3"/>
    <mergeCell ref="D5: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L31"/>
  <sheetViews>
    <sheetView zoomScale="80" zoomScaleNormal="80" workbookViewId="0">
      <selection activeCell="F13" sqref="F13"/>
    </sheetView>
  </sheetViews>
  <sheetFormatPr defaultRowHeight="15" x14ac:dyDescent="0.25"/>
  <cols>
    <col min="1" max="1" width="39.7109375" customWidth="1"/>
    <col min="2" max="2" width="15.140625" customWidth="1"/>
    <col min="3" max="4" width="13.7109375" bestFit="1" customWidth="1"/>
    <col min="6" max="8" width="11.85546875" customWidth="1"/>
    <col min="9" max="9" width="12" customWidth="1"/>
    <col min="10" max="12" width="10.5703125" bestFit="1" customWidth="1"/>
  </cols>
  <sheetData>
    <row r="2" spans="1:6" x14ac:dyDescent="0.25">
      <c r="A2" t="s">
        <v>107</v>
      </c>
      <c r="B2" s="36">
        <v>66.176810000000003</v>
      </c>
      <c r="C2" s="36"/>
      <c r="D2" s="36"/>
      <c r="E2" s="36"/>
      <c r="F2" s="36"/>
    </row>
    <row r="3" spans="1:6" x14ac:dyDescent="0.25">
      <c r="A3" t="s">
        <v>108</v>
      </c>
      <c r="B3" s="86">
        <v>66.41095</v>
      </c>
      <c r="D3" s="36"/>
      <c r="E3" s="36"/>
      <c r="F3" s="36"/>
    </row>
    <row r="4" spans="1:6" x14ac:dyDescent="0.25">
      <c r="A4" t="s">
        <v>109</v>
      </c>
      <c r="B4" s="86">
        <v>81.06626</v>
      </c>
      <c r="D4" s="36"/>
      <c r="E4" s="36"/>
      <c r="F4" s="36"/>
    </row>
    <row r="5" spans="1:6" x14ac:dyDescent="0.25">
      <c r="A5" t="s">
        <v>110</v>
      </c>
      <c r="B5" s="86">
        <v>57.68788</v>
      </c>
      <c r="E5" s="36"/>
      <c r="F5" s="36"/>
    </row>
    <row r="6" spans="1:6" x14ac:dyDescent="0.25">
      <c r="A6" t="s">
        <v>111</v>
      </c>
      <c r="B6" s="86">
        <v>63.776269999999997</v>
      </c>
      <c r="D6" s="36"/>
      <c r="E6" s="36"/>
      <c r="F6" s="36"/>
    </row>
    <row r="7" spans="1:6" x14ac:dyDescent="0.25">
      <c r="A7" t="s">
        <v>112</v>
      </c>
      <c r="B7" s="86">
        <v>8.0964299999999998</v>
      </c>
      <c r="D7" s="36"/>
      <c r="E7" s="36"/>
      <c r="F7" s="36"/>
    </row>
    <row r="8" spans="1:6" x14ac:dyDescent="0.25">
      <c r="A8" t="s">
        <v>113</v>
      </c>
      <c r="B8" s="36">
        <v>100.80392000000001</v>
      </c>
      <c r="C8" s="36"/>
      <c r="D8" s="36"/>
      <c r="E8" s="36"/>
    </row>
    <row r="9" spans="1:6" x14ac:dyDescent="0.25">
      <c r="A9" t="s">
        <v>114</v>
      </c>
      <c r="B9" s="36">
        <v>29.4651</v>
      </c>
      <c r="C9" s="36"/>
      <c r="D9" s="36"/>
      <c r="E9" s="36"/>
    </row>
    <row r="10" spans="1:6" x14ac:dyDescent="0.25">
      <c r="B10" s="36"/>
      <c r="C10" s="36"/>
      <c r="D10" s="36"/>
      <c r="E10" s="36"/>
      <c r="F10" s="36"/>
    </row>
    <row r="12" spans="1:6" x14ac:dyDescent="0.25">
      <c r="A12" t="s">
        <v>115</v>
      </c>
      <c r="B12" t="s">
        <v>116</v>
      </c>
      <c r="D12" s="36">
        <v>57.68788</v>
      </c>
    </row>
    <row r="13" spans="1:6" x14ac:dyDescent="0.25">
      <c r="A13" t="s">
        <v>117</v>
      </c>
      <c r="B13" s="36">
        <v>8.0964299999999998</v>
      </c>
    </row>
    <row r="14" spans="1:6" x14ac:dyDescent="0.25">
      <c r="A14" t="s">
        <v>118</v>
      </c>
      <c r="B14" s="36">
        <v>63.776269999999997</v>
      </c>
    </row>
    <row r="15" spans="1:6" x14ac:dyDescent="0.25">
      <c r="A15" t="s">
        <v>119</v>
      </c>
      <c r="C15" t="s">
        <v>120</v>
      </c>
      <c r="D15" s="87">
        <v>8.0964299999999998</v>
      </c>
    </row>
    <row r="17" spans="1:12" x14ac:dyDescent="0.25">
      <c r="A17" t="s">
        <v>121</v>
      </c>
      <c r="B17" s="36">
        <v>66.41095</v>
      </c>
    </row>
    <row r="18" spans="1:12" x14ac:dyDescent="0.25">
      <c r="A18" t="s">
        <v>122</v>
      </c>
      <c r="B18" t="s">
        <v>123</v>
      </c>
      <c r="D18" s="36">
        <v>57.68788</v>
      </c>
    </row>
    <row r="20" spans="1:12" x14ac:dyDescent="0.25">
      <c r="A20" s="193" t="s">
        <v>54</v>
      </c>
      <c r="B20" s="193" t="s">
        <v>56</v>
      </c>
      <c r="C20" s="196" t="s">
        <v>50</v>
      </c>
      <c r="D20" s="196"/>
      <c r="E20" s="196"/>
    </row>
    <row r="21" spans="1:12" x14ac:dyDescent="0.25">
      <c r="A21" s="194"/>
      <c r="B21" s="194"/>
      <c r="C21" s="197" t="s">
        <v>52</v>
      </c>
      <c r="D21" s="198"/>
      <c r="E21" s="199"/>
    </row>
    <row r="22" spans="1:12" ht="75" x14ac:dyDescent="0.25">
      <c r="A22" s="195"/>
      <c r="B22" s="195" t="s">
        <v>56</v>
      </c>
      <c r="C22" s="17" t="s">
        <v>61</v>
      </c>
      <c r="D22" s="17" t="s">
        <v>62</v>
      </c>
      <c r="E22" s="17" t="s">
        <v>63</v>
      </c>
      <c r="F22" s="88"/>
      <c r="G22" s="88" t="s">
        <v>124</v>
      </c>
      <c r="H22" s="88" t="s">
        <v>125</v>
      </c>
      <c r="I22" s="88" t="s">
        <v>126</v>
      </c>
    </row>
    <row r="23" spans="1:12" x14ac:dyDescent="0.25">
      <c r="A23" s="23" t="s">
        <v>44</v>
      </c>
      <c r="B23" s="23" t="s">
        <v>45</v>
      </c>
      <c r="C23" s="10">
        <f>'Esperienza gare'!D9</f>
        <v>7</v>
      </c>
      <c r="D23" s="10">
        <f>'Esperienza gare'!E9</f>
        <v>2</v>
      </c>
      <c r="E23" s="10">
        <f>'Esperienza gare'!F9</f>
        <v>1</v>
      </c>
      <c r="F23" s="89">
        <v>66.41095</v>
      </c>
      <c r="G23" s="89">
        <f>SUM(F23)+$F$25</f>
        <v>132.58776</v>
      </c>
      <c r="H23" s="89">
        <f t="shared" ref="H23:H30" si="0">SUM(G23+B$9)</f>
        <v>162.05286000000001</v>
      </c>
      <c r="I23" s="89">
        <f t="shared" ref="I23:I30" si="1">SUM(G23+B$8)</f>
        <v>233.39168000000001</v>
      </c>
      <c r="J23" s="89">
        <f>SUM(C23*G23)</f>
        <v>928.11432000000002</v>
      </c>
      <c r="K23" s="89">
        <f t="shared" ref="K23:L30" si="2">SUM(D23*H23)</f>
        <v>324.10572000000002</v>
      </c>
      <c r="L23" s="89">
        <f t="shared" si="2"/>
        <v>233.39168000000001</v>
      </c>
    </row>
    <row r="24" spans="1:12" x14ac:dyDescent="0.25">
      <c r="A24" s="23" t="s">
        <v>44</v>
      </c>
      <c r="B24" s="23" t="s">
        <v>46</v>
      </c>
      <c r="C24" s="10">
        <f>'Esperienza gare'!D10</f>
        <v>1</v>
      </c>
      <c r="D24" s="10">
        <f>'Esperienza gare'!E10</f>
        <v>1</v>
      </c>
      <c r="E24" s="10">
        <f>'Esperienza gare'!F10</f>
        <v>0</v>
      </c>
      <c r="F24" s="89">
        <v>57.68788</v>
      </c>
      <c r="G24" s="89">
        <f t="shared" ref="G24:G28" si="3">SUM(F24)+$F$25</f>
        <v>123.86469</v>
      </c>
      <c r="H24" s="89">
        <f t="shared" si="0"/>
        <v>153.32979</v>
      </c>
      <c r="I24" s="89">
        <f t="shared" si="1"/>
        <v>224.66861</v>
      </c>
      <c r="J24" s="89">
        <f t="shared" ref="J24:J30" si="4">SUM(C24*G24)</f>
        <v>123.86469</v>
      </c>
      <c r="K24" s="89">
        <f t="shared" si="2"/>
        <v>153.32979</v>
      </c>
      <c r="L24" s="89">
        <f t="shared" si="2"/>
        <v>0</v>
      </c>
    </row>
    <row r="25" spans="1:12" x14ac:dyDescent="0.25">
      <c r="A25" s="23" t="s">
        <v>47</v>
      </c>
      <c r="B25" s="23" t="s">
        <v>45</v>
      </c>
      <c r="C25" s="10">
        <f>'Esperienza gare'!D11</f>
        <v>2</v>
      </c>
      <c r="D25" s="10">
        <f>'Esperienza gare'!E11</f>
        <v>0</v>
      </c>
      <c r="E25" s="10">
        <f>'Esperienza gare'!F11</f>
        <v>1</v>
      </c>
      <c r="F25" s="89">
        <v>66.176810000000003</v>
      </c>
      <c r="G25" s="89">
        <f>SUM(F25)</f>
        <v>66.176810000000003</v>
      </c>
      <c r="H25" s="89">
        <f>SUM(G25+B$9)</f>
        <v>95.641909999999996</v>
      </c>
      <c r="I25" s="89">
        <f t="shared" si="1"/>
        <v>166.98072999999999</v>
      </c>
      <c r="J25" s="89">
        <f t="shared" si="4"/>
        <v>132.35362000000001</v>
      </c>
      <c r="K25" s="89">
        <f t="shared" si="2"/>
        <v>0</v>
      </c>
      <c r="L25" s="89">
        <f t="shared" si="2"/>
        <v>166.98072999999999</v>
      </c>
    </row>
    <row r="26" spans="1:12" x14ac:dyDescent="0.25">
      <c r="A26" s="23" t="s">
        <v>47</v>
      </c>
      <c r="B26" s="23" t="s">
        <v>46</v>
      </c>
      <c r="C26" s="10">
        <f>'Esperienza gare'!D12</f>
        <v>0</v>
      </c>
      <c r="D26" s="10">
        <f>'Esperienza gare'!E12</f>
        <v>1</v>
      </c>
      <c r="E26" s="10">
        <f>'Esperienza gare'!F12</f>
        <v>0</v>
      </c>
      <c r="F26" s="89">
        <v>8.0964299999999998</v>
      </c>
      <c r="G26" s="89">
        <f t="shared" si="3"/>
        <v>74.273240000000001</v>
      </c>
      <c r="H26" s="89">
        <f t="shared" si="0"/>
        <v>103.73833999999999</v>
      </c>
      <c r="I26" s="89">
        <f t="shared" si="1"/>
        <v>175.07715999999999</v>
      </c>
      <c r="J26" s="89">
        <f t="shared" si="4"/>
        <v>0</v>
      </c>
      <c r="K26" s="89">
        <f t="shared" si="2"/>
        <v>103.73833999999999</v>
      </c>
      <c r="L26" s="89">
        <f t="shared" si="2"/>
        <v>0</v>
      </c>
    </row>
    <row r="27" spans="1:12" x14ac:dyDescent="0.25">
      <c r="A27" s="23" t="s">
        <v>48</v>
      </c>
      <c r="B27" s="23" t="s">
        <v>45</v>
      </c>
      <c r="C27" s="10">
        <f>'Esperienza gare'!D13</f>
        <v>0</v>
      </c>
      <c r="D27" s="10">
        <f>'Esperienza gare'!E13</f>
        <v>2</v>
      </c>
      <c r="E27" s="10">
        <f>'Esperienza gare'!F13</f>
        <v>0</v>
      </c>
      <c r="F27" s="89">
        <v>81.06626</v>
      </c>
      <c r="G27" s="89">
        <f t="shared" si="3"/>
        <v>147.24306999999999</v>
      </c>
      <c r="H27" s="89">
        <f t="shared" si="0"/>
        <v>176.70817</v>
      </c>
      <c r="I27" s="89">
        <f t="shared" si="1"/>
        <v>248.04698999999999</v>
      </c>
      <c r="J27" s="89">
        <f t="shared" si="4"/>
        <v>0</v>
      </c>
      <c r="K27" s="89">
        <f t="shared" si="2"/>
        <v>353.41633999999999</v>
      </c>
      <c r="L27" s="89">
        <f t="shared" si="2"/>
        <v>0</v>
      </c>
    </row>
    <row r="28" spans="1:12" x14ac:dyDescent="0.25">
      <c r="A28" s="23" t="s">
        <v>48</v>
      </c>
      <c r="B28" s="23" t="s">
        <v>46</v>
      </c>
      <c r="C28" s="10">
        <f>'Esperienza gare'!D14</f>
        <v>1</v>
      </c>
      <c r="D28" s="10">
        <f>'Esperienza gare'!E14</f>
        <v>0</v>
      </c>
      <c r="E28" s="10">
        <f>'Esperienza gare'!F14</f>
        <v>0</v>
      </c>
      <c r="F28" s="89">
        <v>63.776269999999997</v>
      </c>
      <c r="G28" s="89">
        <f t="shared" si="3"/>
        <v>129.95308</v>
      </c>
      <c r="H28" s="89">
        <f t="shared" si="0"/>
        <v>159.41818000000001</v>
      </c>
      <c r="I28" s="89">
        <f t="shared" si="1"/>
        <v>230.75700000000001</v>
      </c>
      <c r="J28" s="89">
        <f t="shared" si="4"/>
        <v>129.95308</v>
      </c>
      <c r="K28" s="89">
        <f t="shared" si="2"/>
        <v>0</v>
      </c>
      <c r="L28" s="89">
        <f t="shared" si="2"/>
        <v>0</v>
      </c>
    </row>
    <row r="29" spans="1:12" x14ac:dyDescent="0.25">
      <c r="A29" s="23" t="s">
        <v>49</v>
      </c>
      <c r="B29" s="23" t="s">
        <v>45</v>
      </c>
      <c r="C29" s="10">
        <f>'Esperienza gare'!D15</f>
        <v>0</v>
      </c>
      <c r="D29" s="10">
        <f>'Esperienza gare'!E15</f>
        <v>0</v>
      </c>
      <c r="E29" s="10">
        <f>'Esperienza gare'!F15</f>
        <v>1</v>
      </c>
      <c r="F29" s="89">
        <v>66.41095</v>
      </c>
      <c r="G29" s="89">
        <f>SUM(F25+F29)</f>
        <v>132.58776</v>
      </c>
      <c r="H29" s="89">
        <f t="shared" si="0"/>
        <v>162.05286000000001</v>
      </c>
      <c r="I29" s="89">
        <f t="shared" si="1"/>
        <v>233.39168000000001</v>
      </c>
      <c r="J29" s="89">
        <f t="shared" si="4"/>
        <v>0</v>
      </c>
      <c r="K29" s="89">
        <f t="shared" si="2"/>
        <v>0</v>
      </c>
      <c r="L29" s="89">
        <f t="shared" si="2"/>
        <v>233.39168000000001</v>
      </c>
    </row>
    <row r="30" spans="1:12" x14ac:dyDescent="0.25">
      <c r="A30" s="23" t="s">
        <v>49</v>
      </c>
      <c r="B30" s="23" t="s">
        <v>46</v>
      </c>
      <c r="C30" s="10">
        <f>'Esperienza gare'!D16</f>
        <v>0</v>
      </c>
      <c r="D30" s="10">
        <f>'Esperienza gare'!E16</f>
        <v>0</v>
      </c>
      <c r="E30" s="10">
        <f>'Esperienza gare'!F16</f>
        <v>0</v>
      </c>
      <c r="F30" s="89">
        <v>57.68788</v>
      </c>
      <c r="G30" s="89">
        <f t="shared" ref="G30" si="5">SUM(F30)+$F$25</f>
        <v>123.86469</v>
      </c>
      <c r="H30" s="89">
        <f t="shared" si="0"/>
        <v>153.32979</v>
      </c>
      <c r="I30" s="89">
        <f t="shared" si="1"/>
        <v>224.66861</v>
      </c>
      <c r="J30" s="89">
        <f t="shared" si="4"/>
        <v>0</v>
      </c>
      <c r="K30" s="89">
        <f t="shared" si="2"/>
        <v>0</v>
      </c>
      <c r="L30" s="89">
        <f t="shared" si="2"/>
        <v>0</v>
      </c>
    </row>
    <row r="31" spans="1:12" x14ac:dyDescent="0.25">
      <c r="E31" s="90">
        <f>SUM(J23:L30)</f>
        <v>2882.6399900000001</v>
      </c>
    </row>
  </sheetData>
  <sheetProtection algorithmName="SHA-512" hashValue="lBGvuYgvPU6CdIaxn5O1hhlK79UKH/N+k+SxRS0n7UB1U82T1x+Fv/Q0chkmPH/vYlJU6FG/Tzf3hOTiMgMplw==" saltValue="l5rZBzg63csJz130U/yA+Q==" spinCount="100000" sheet="1" objects="1" scenarios="1" selectLockedCells="1" selectUnlockedCells="1"/>
  <mergeCells count="4">
    <mergeCell ref="A20:A22"/>
    <mergeCell ref="B20:B22"/>
    <mergeCell ref="C20:E20"/>
    <mergeCell ref="C21:E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38"/>
  <sheetViews>
    <sheetView zoomScale="70" zoomScaleNormal="70" workbookViewId="0">
      <selection activeCell="A9" sqref="A9"/>
    </sheetView>
  </sheetViews>
  <sheetFormatPr defaultRowHeight="15" x14ac:dyDescent="0.25"/>
  <cols>
    <col min="1" max="1" width="216.28515625" bestFit="1" customWidth="1"/>
    <col min="2" max="2" width="20.140625" customWidth="1"/>
    <col min="3" max="3" width="22.7109375" bestFit="1" customWidth="1"/>
  </cols>
  <sheetData>
    <row r="1" spans="1:3" x14ac:dyDescent="0.25">
      <c r="B1" t="s">
        <v>33</v>
      </c>
      <c r="C1" t="s">
        <v>32</v>
      </c>
    </row>
    <row r="2" spans="1:3" x14ac:dyDescent="0.25">
      <c r="A2" t="s">
        <v>21</v>
      </c>
    </row>
    <row r="3" spans="1:3" x14ac:dyDescent="0.25">
      <c r="A3" t="s">
        <v>0</v>
      </c>
      <c r="B3" s="35">
        <f>IF(Competenze!C3&gt;0,'INDICI-PUNTEGGI'!B3,0)</f>
        <v>0.184</v>
      </c>
      <c r="C3" s="36">
        <f>CALCOLO!AC3</f>
        <v>0.73778242496481605</v>
      </c>
    </row>
    <row r="4" spans="1:3" x14ac:dyDescent="0.25">
      <c r="A4" t="s">
        <v>1</v>
      </c>
      <c r="B4" s="35">
        <f>'INDICI-PUNTEGGI'!B4</f>
        <v>1</v>
      </c>
      <c r="C4" s="36">
        <f>CALCOLO!AC4</f>
        <v>0.60835312724107848</v>
      </c>
    </row>
    <row r="5" spans="1:3" x14ac:dyDescent="0.25">
      <c r="A5" t="s">
        <v>2</v>
      </c>
      <c r="B5" s="35">
        <f>'INDICI-PUNTEGGI'!B5</f>
        <v>12</v>
      </c>
      <c r="C5" s="36">
        <f>CALCOLO!AC5</f>
        <v>1.0489342226828537</v>
      </c>
    </row>
    <row r="6" spans="1:3" x14ac:dyDescent="0.25">
      <c r="A6" t="s">
        <v>3</v>
      </c>
      <c r="B6" s="35">
        <f>'INDICI-PUNTEGGI'!B6</f>
        <v>10</v>
      </c>
      <c r="C6" s="36">
        <f>CALCOLO!AC6</f>
        <v>0.87503876051086205</v>
      </c>
    </row>
    <row r="7" spans="1:3" x14ac:dyDescent="0.25">
      <c r="A7" t="s">
        <v>4</v>
      </c>
      <c r="B7" s="35">
        <f>'INDICI-PUNTEGGI'!B7</f>
        <v>0.34782608695652173</v>
      </c>
      <c r="C7" s="36">
        <f>CALCOLO!AC7</f>
        <v>0.20782702753563753</v>
      </c>
    </row>
    <row r="8" spans="1:3" x14ac:dyDescent="0.25">
      <c r="A8" t="s">
        <v>5</v>
      </c>
      <c r="B8" s="35">
        <f>'INDICI-PUNTEGGI'!B8</f>
        <v>0.13043478260869565</v>
      </c>
      <c r="C8" s="36">
        <f>CALCOLO!AC8</f>
        <v>0.43079194559039224</v>
      </c>
    </row>
    <row r="9" spans="1:3" x14ac:dyDescent="0.25">
      <c r="A9" t="s">
        <v>6</v>
      </c>
      <c r="B9" s="35">
        <f>IF(Competenze!C10&gt;0,'INDICI-PUNTEGGI'!B9,0)</f>
        <v>0.5</v>
      </c>
      <c r="C9" s="36">
        <f>CALCOLO!AC9</f>
        <v>0.25113627707896935</v>
      </c>
    </row>
    <row r="10" spans="1:3" x14ac:dyDescent="0.25">
      <c r="A10" t="s">
        <v>7</v>
      </c>
      <c r="B10" s="35">
        <f>'INDICI-PUNTEGGI'!B10</f>
        <v>0.30434782608695654</v>
      </c>
      <c r="C10" s="36">
        <f>CALCOLO!AC10</f>
        <v>7.3750650352041799E-2</v>
      </c>
    </row>
    <row r="11" spans="1:3" x14ac:dyDescent="0.25">
      <c r="A11" t="s">
        <v>8</v>
      </c>
      <c r="B11" s="35">
        <f>'INDICI-PUNTEGGI'!B11</f>
        <v>8.6956521739130432E-2</v>
      </c>
      <c r="C11" s="36">
        <f>CALCOLO!AC11</f>
        <v>0.67273295312089587</v>
      </c>
    </row>
    <row r="12" spans="1:3" x14ac:dyDescent="0.25">
      <c r="A12" t="s">
        <v>9</v>
      </c>
      <c r="B12" s="35">
        <f>'INDICI-PUNTEGGI'!B12</f>
        <v>0.13043478260869565</v>
      </c>
      <c r="C12" s="36">
        <f>CALCOLO!AC12</f>
        <v>0.79727660282122925</v>
      </c>
    </row>
    <row r="13" spans="1:3" x14ac:dyDescent="0.25">
      <c r="A13" t="s">
        <v>10</v>
      </c>
      <c r="B13" s="35">
        <f>'INDICI-PUNTEGGI'!B13</f>
        <v>0.13043478260869565</v>
      </c>
      <c r="C13" s="36">
        <f>CALCOLO!AC13</f>
        <v>0.28240247716762878</v>
      </c>
    </row>
    <row r="14" spans="1:3" x14ac:dyDescent="0.25">
      <c r="A14" t="s">
        <v>11</v>
      </c>
      <c r="B14" s="35">
        <f>'INDICI-PUNTEGGI'!B14</f>
        <v>4.3478260869565216E-2</v>
      </c>
      <c r="C14" s="36">
        <f>CALCOLO!AC14</f>
        <v>0.23753594846987558</v>
      </c>
    </row>
    <row r="15" spans="1:3" x14ac:dyDescent="0.25">
      <c r="A15" t="s">
        <v>12</v>
      </c>
      <c r="B15" s="35">
        <f>'INDICI-PUNTEGGI'!B15</f>
        <v>125.33217347826087</v>
      </c>
      <c r="C15" s="36">
        <f>CALCOLO!AC17</f>
        <v>5.2344708838992062</v>
      </c>
    </row>
    <row r="16" spans="1:3" x14ac:dyDescent="0.25">
      <c r="A16" t="s">
        <v>22</v>
      </c>
      <c r="B16" s="35"/>
      <c r="C16" s="36"/>
    </row>
    <row r="17" spans="1:3" x14ac:dyDescent="0.25">
      <c r="A17" t="s">
        <v>23</v>
      </c>
      <c r="B17" s="35">
        <f>'INDICI-PUNTEGGI'!B17</f>
        <v>0.34782608695652173</v>
      </c>
      <c r="C17" s="36">
        <f>CALCOLO!AB19</f>
        <v>0.82959922079871617</v>
      </c>
    </row>
    <row r="18" spans="1:3" x14ac:dyDescent="0.25">
      <c r="A18" t="s">
        <v>24</v>
      </c>
      <c r="B18" s="35">
        <f>'INDICI-PUNTEGGI'!B18</f>
        <v>0.21739130434782608</v>
      </c>
      <c r="C18" s="36">
        <f>CALCOLO!AB20</f>
        <v>2.6787830543608351</v>
      </c>
    </row>
    <row r="19" spans="1:3" x14ac:dyDescent="0.25">
      <c r="A19" t="s">
        <v>25</v>
      </c>
      <c r="B19" s="35">
        <f>'INDICI-PUNTEGGI'!B19</f>
        <v>8.6956521739130432E-2</v>
      </c>
      <c r="C19" s="36">
        <f>CALCOLO!AB21</f>
        <v>4.305961354749031</v>
      </c>
    </row>
    <row r="20" spans="1:3" x14ac:dyDescent="0.25">
      <c r="A20" t="s">
        <v>26</v>
      </c>
      <c r="B20" s="35"/>
      <c r="C20" s="36"/>
    </row>
    <row r="21" spans="1:3" x14ac:dyDescent="0.25">
      <c r="A21" t="s">
        <v>13</v>
      </c>
      <c r="B21" s="35">
        <f>'INDICI-PUNTEGGI'!B21</f>
        <v>2882.6399900000001</v>
      </c>
      <c r="C21" s="36">
        <f>CALCOLO!AC27</f>
        <v>32.334639497042197</v>
      </c>
    </row>
    <row r="22" spans="1:3" x14ac:dyDescent="0.25">
      <c r="A22" t="s">
        <v>14</v>
      </c>
      <c r="B22" s="91">
        <f>'INDICI-PUNTEGGI'!B22</f>
        <v>0.45</v>
      </c>
      <c r="C22" s="36">
        <f>CALCOLO!AC28</f>
        <v>1.7423786004116015</v>
      </c>
    </row>
    <row r="23" spans="1:3" x14ac:dyDescent="0.25">
      <c r="A23" t="s">
        <v>15</v>
      </c>
      <c r="B23" s="91">
        <f>1-'INDICI-PUNTEGGI'!B23</f>
        <v>0.92</v>
      </c>
      <c r="C23" s="36">
        <f>CALCOLO!AC29</f>
        <v>0.60620991194420637</v>
      </c>
    </row>
    <row r="24" spans="1:3" x14ac:dyDescent="0.25">
      <c r="A24" t="s">
        <v>27</v>
      </c>
      <c r="B24" s="35"/>
      <c r="C24" s="36"/>
    </row>
    <row r="25" spans="1:3" x14ac:dyDescent="0.25">
      <c r="A25" t="s">
        <v>16</v>
      </c>
      <c r="B25" s="91">
        <f>'INDICI-PUNTEGGI'!B25</f>
        <v>0.88</v>
      </c>
      <c r="C25" s="36">
        <f>CALCOLO!AC31</f>
        <v>2.0620273860798237</v>
      </c>
    </row>
    <row r="26" spans="1:3" x14ac:dyDescent="0.25">
      <c r="A26" t="s">
        <v>17</v>
      </c>
      <c r="B26" s="91">
        <f>'INDICI-PUNTEGGI'!B26</f>
        <v>0.86956521739130432</v>
      </c>
      <c r="C26" s="36">
        <f>CALCOLO!AC32</f>
        <v>1.9450763716186998</v>
      </c>
    </row>
    <row r="27" spans="1:3" x14ac:dyDescent="0.25">
      <c r="A27" t="s">
        <v>28</v>
      </c>
      <c r="B27" s="35"/>
      <c r="C27" s="36"/>
    </row>
    <row r="28" spans="1:3" x14ac:dyDescent="0.25">
      <c r="A28" t="s">
        <v>29</v>
      </c>
      <c r="B28" s="91">
        <f>'INDICI-PUNTEGGI'!B28</f>
        <v>85</v>
      </c>
      <c r="C28" s="36">
        <f>CALCOLO!AC34</f>
        <v>2.2062688857224515</v>
      </c>
    </row>
    <row r="29" spans="1:3" x14ac:dyDescent="0.25">
      <c r="A29" t="s">
        <v>30</v>
      </c>
      <c r="B29" s="91">
        <f>'INDICI-PUNTEGGI'!B29</f>
        <v>25</v>
      </c>
      <c r="C29" s="36">
        <f>CALCOLO!AC35</f>
        <v>0.80418782048030535</v>
      </c>
    </row>
    <row r="30" spans="1:3" x14ac:dyDescent="0.25">
      <c r="A30" t="s">
        <v>31</v>
      </c>
      <c r="B30" s="35"/>
      <c r="C30" s="36"/>
    </row>
    <row r="31" spans="1:3" x14ac:dyDescent="0.25">
      <c r="A31" t="s">
        <v>18</v>
      </c>
      <c r="B31" s="91">
        <f>'INDICI-PUNTEGGI'!B31</f>
        <v>0.8666666666666667</v>
      </c>
      <c r="C31" s="36">
        <f>CALCOLO!AC37</f>
        <v>1.8287038405320459</v>
      </c>
    </row>
    <row r="32" spans="1:3" x14ac:dyDescent="0.25">
      <c r="A32" t="s">
        <v>19</v>
      </c>
      <c r="B32" s="91">
        <f>'INDICI-PUNTEGGI'!B32</f>
        <v>6</v>
      </c>
      <c r="C32" s="36">
        <f>CALCOLO!AC38</f>
        <v>2.5109370527084995</v>
      </c>
    </row>
    <row r="33" spans="1:3" x14ac:dyDescent="0.25">
      <c r="A33" t="s">
        <v>20</v>
      </c>
      <c r="B33" s="91">
        <f>'INDICI-PUNTEGGI'!B33</f>
        <v>7</v>
      </c>
      <c r="C33" s="36">
        <f>CALCOLO!AC39</f>
        <v>3.7164798295314507</v>
      </c>
    </row>
    <row r="38" spans="1:3" ht="21" x14ac:dyDescent="0.25">
      <c r="C38" s="37">
        <f>SUM(C3:C33)</f>
        <v>69.029286127415347</v>
      </c>
    </row>
  </sheetData>
  <sheetProtection algorithmName="SHA-512" hashValue="xe1lgQem4cWVSknsKNfyys0L6RCGFwavhSEebDkt7Q1BwT5A9KBWBq8QdRp03ZbyTZzgj00kfugclhJylXnkrg==" saltValue="zzie397ib7wl0ugxYeR2pw=="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H52"/>
  <sheetViews>
    <sheetView topLeftCell="I1" zoomScale="70" zoomScaleNormal="70" workbookViewId="0">
      <selection activeCell="B9" sqref="B9"/>
    </sheetView>
  </sheetViews>
  <sheetFormatPr defaultRowHeight="15" x14ac:dyDescent="0.25"/>
  <cols>
    <col min="1" max="1" width="194.7109375" bestFit="1" customWidth="1"/>
    <col min="2" max="2" width="14.140625" bestFit="1" customWidth="1"/>
    <col min="3" max="3" width="14.140625" customWidth="1"/>
    <col min="4" max="4" width="17" bestFit="1" customWidth="1"/>
    <col min="5" max="5" width="14.140625" customWidth="1"/>
    <col min="6" max="6" width="16.140625" customWidth="1"/>
    <col min="7" max="7" width="9.42578125" bestFit="1" customWidth="1"/>
    <col min="8" max="8" width="16" bestFit="1" customWidth="1"/>
    <col min="9" max="9" width="13" bestFit="1" customWidth="1"/>
    <col min="10" max="12" width="13.7109375" bestFit="1" customWidth="1"/>
    <col min="13" max="13" width="15" bestFit="1" customWidth="1"/>
    <col min="14" max="14" width="10.7109375" bestFit="1" customWidth="1"/>
    <col min="21" max="21" width="13.7109375" bestFit="1" customWidth="1"/>
    <col min="24" max="26" width="12.5703125" customWidth="1"/>
    <col min="28" max="28" width="12" bestFit="1" customWidth="1"/>
    <col min="29" max="29" width="12.140625" customWidth="1"/>
    <col min="30" max="33" width="2.28515625" bestFit="1" customWidth="1"/>
  </cols>
  <sheetData>
    <row r="1" spans="1:29" x14ac:dyDescent="0.25">
      <c r="B1" t="s">
        <v>36</v>
      </c>
      <c r="C1" t="s">
        <v>37</v>
      </c>
      <c r="D1" t="s">
        <v>42</v>
      </c>
      <c r="E1" t="s">
        <v>41</v>
      </c>
      <c r="F1" s="5">
        <v>0</v>
      </c>
      <c r="G1" s="5">
        <v>1</v>
      </c>
      <c r="H1" s="5">
        <v>2</v>
      </c>
      <c r="I1" s="5">
        <v>3</v>
      </c>
      <c r="J1" s="5">
        <v>4</v>
      </c>
      <c r="K1" s="5">
        <v>5</v>
      </c>
      <c r="L1" s="5">
        <v>6</v>
      </c>
      <c r="M1" s="5">
        <v>7</v>
      </c>
      <c r="X1" t="s">
        <v>38</v>
      </c>
      <c r="Y1" t="s">
        <v>39</v>
      </c>
      <c r="Z1" t="s">
        <v>40</v>
      </c>
      <c r="AC1" t="s">
        <v>43</v>
      </c>
    </row>
    <row r="2" spans="1:29" x14ac:dyDescent="0.25">
      <c r="A2" t="s">
        <v>21</v>
      </c>
    </row>
    <row r="3" spans="1:29" x14ac:dyDescent="0.25">
      <c r="A3" t="s">
        <v>0</v>
      </c>
      <c r="B3" s="38">
        <f>INDICIb!B3</f>
        <v>0.184</v>
      </c>
      <c r="C3">
        <v>15</v>
      </c>
      <c r="D3">
        <f t="shared" ref="D3:D16" si="0">SUM(C$2:C$15)</f>
        <v>217</v>
      </c>
      <c r="E3">
        <v>20</v>
      </c>
      <c r="F3" s="4">
        <v>-1.84018890367546</v>
      </c>
      <c r="G3" s="4">
        <v>614.92820537</v>
      </c>
      <c r="H3" s="4">
        <v>-3386.4283535300001</v>
      </c>
      <c r="I3" s="4">
        <v>14244.294636189999</v>
      </c>
      <c r="J3" s="4">
        <v>-36083.922054449999</v>
      </c>
      <c r="K3" s="4">
        <v>50552.478191210001</v>
      </c>
      <c r="L3" s="4">
        <v>-36038.993495260002</v>
      </c>
      <c r="M3" s="4">
        <v>10202.069037720001</v>
      </c>
      <c r="O3">
        <f t="shared" ref="O3:V16" si="1">$B3^F$1*F3</f>
        <v>-1.84018890367546</v>
      </c>
      <c r="P3">
        <f t="shared" si="1"/>
        <v>113.14678978808</v>
      </c>
      <c r="Q3">
        <f t="shared" si="1"/>
        <v>-114.65091833711168</v>
      </c>
      <c r="R3">
        <f t="shared" si="1"/>
        <v>88.734890413324138</v>
      </c>
      <c r="S3">
        <f t="shared" si="1"/>
        <v>-41.360428366394743</v>
      </c>
      <c r="T3">
        <f t="shared" si="1"/>
        <v>10.661825384895188</v>
      </c>
      <c r="U3">
        <f t="shared" si="1"/>
        <v>-1.3985551327523058</v>
      </c>
      <c r="V3">
        <f t="shared" si="1"/>
        <v>7.284722608988195E-2</v>
      </c>
      <c r="X3">
        <f t="shared" ref="X3:X16" si="2">SUM(O3:V3)</f>
        <v>53.366262072455029</v>
      </c>
      <c r="Y3">
        <f t="shared" ref="Y3:Y16" si="3">MIN(X3,100)</f>
        <v>53.366262072455029</v>
      </c>
      <c r="Z3">
        <f t="shared" ref="Z3:Z16" si="4">MAX(0,Y3)</f>
        <v>53.366262072455029</v>
      </c>
      <c r="AB3">
        <f>IF(B3&gt;0,Z3*C3/D3*E3/100,0)</f>
        <v>0.73778242496481605</v>
      </c>
      <c r="AC3">
        <f>AB3</f>
        <v>0.73778242496481605</v>
      </c>
    </row>
    <row r="4" spans="1:29" x14ac:dyDescent="0.25">
      <c r="A4" t="s">
        <v>1</v>
      </c>
      <c r="B4" s="38">
        <f>INDICIb!B4</f>
        <v>1</v>
      </c>
      <c r="C4">
        <v>15</v>
      </c>
      <c r="D4">
        <f t="shared" si="0"/>
        <v>217</v>
      </c>
      <c r="E4">
        <v>20</v>
      </c>
      <c r="F4" s="4">
        <v>24.5164189900288</v>
      </c>
      <c r="G4" s="39">
        <v>23.025509599999999</v>
      </c>
      <c r="H4" s="39">
        <v>-3.9188029599999998</v>
      </c>
      <c r="I4" s="39">
        <v>0.40574212399999998</v>
      </c>
      <c r="J4" s="39">
        <v>-2.5589980700000001E-2</v>
      </c>
      <c r="K4" s="39">
        <v>9.5060450300000002E-4</v>
      </c>
      <c r="L4" s="39">
        <v>-1.8997652499999999E-5</v>
      </c>
      <c r="M4" s="39">
        <v>1.56925377E-7</v>
      </c>
      <c r="O4">
        <f t="shared" si="1"/>
        <v>24.5164189900288</v>
      </c>
      <c r="P4">
        <f t="shared" si="1"/>
        <v>23.025509599999999</v>
      </c>
      <c r="Q4">
        <f t="shared" si="1"/>
        <v>-3.9188029599999998</v>
      </c>
      <c r="R4">
        <f t="shared" si="1"/>
        <v>0.40574212399999998</v>
      </c>
      <c r="S4">
        <f t="shared" si="1"/>
        <v>-2.5589980700000001E-2</v>
      </c>
      <c r="T4">
        <f t="shared" si="1"/>
        <v>9.5060450300000002E-4</v>
      </c>
      <c r="U4">
        <f t="shared" si="1"/>
        <v>-1.8997652499999999E-5</v>
      </c>
      <c r="V4">
        <f t="shared" si="1"/>
        <v>1.56925377E-7</v>
      </c>
      <c r="X4">
        <f t="shared" si="2"/>
        <v>44.004209537104678</v>
      </c>
      <c r="Y4">
        <f t="shared" si="3"/>
        <v>44.004209537104678</v>
      </c>
      <c r="Z4">
        <f t="shared" si="4"/>
        <v>44.004209537104678</v>
      </c>
      <c r="AB4">
        <f t="shared" ref="AB4:AB16" si="5">IF(B4&gt;0,Z4*C4/D4*E4/100,0)</f>
        <v>0.60835312724107848</v>
      </c>
      <c r="AC4">
        <f t="shared" ref="AC4:AC14" si="6">AB4</f>
        <v>0.60835312724107848</v>
      </c>
    </row>
    <row r="5" spans="1:29" x14ac:dyDescent="0.25">
      <c r="A5" t="s">
        <v>2</v>
      </c>
      <c r="B5" s="38">
        <f>INDICIb!B5</f>
        <v>12</v>
      </c>
      <c r="C5">
        <v>15</v>
      </c>
      <c r="D5">
        <f t="shared" si="0"/>
        <v>217</v>
      </c>
      <c r="E5">
        <v>20</v>
      </c>
      <c r="F5" s="39">
        <v>19.756221764002198</v>
      </c>
      <c r="G5" s="39">
        <v>10.5721545</v>
      </c>
      <c r="H5" s="39">
        <v>-0.79405355499999997</v>
      </c>
      <c r="I5" s="39">
        <v>3.3353790699999997E-2</v>
      </c>
      <c r="J5" s="39">
        <v>-7.9439254599999998E-4</v>
      </c>
      <c r="K5" s="39">
        <v>1.06355982E-5</v>
      </c>
      <c r="L5" s="39">
        <v>-7.4464971200000003E-8</v>
      </c>
      <c r="M5" s="39">
        <v>2.1189205900000001E-10</v>
      </c>
      <c r="O5">
        <f t="shared" si="1"/>
        <v>19.756221764002198</v>
      </c>
      <c r="P5">
        <f t="shared" si="1"/>
        <v>126.865854</v>
      </c>
      <c r="Q5">
        <f t="shared" si="1"/>
        <v>-114.34371191999999</v>
      </c>
      <c r="R5">
        <f t="shared" si="1"/>
        <v>57.635350329599994</v>
      </c>
      <c r="S5">
        <f t="shared" si="1"/>
        <v>-16.472523833855998</v>
      </c>
      <c r="T5">
        <f t="shared" si="1"/>
        <v>2.6464771713023998</v>
      </c>
      <c r="U5">
        <f t="shared" si="1"/>
        <v>-0.2223512125636608</v>
      </c>
      <c r="V5">
        <f t="shared" si="1"/>
        <v>7.5924755748126727E-3</v>
      </c>
      <c r="X5">
        <f t="shared" si="2"/>
        <v>75.872908774059752</v>
      </c>
      <c r="Y5">
        <f t="shared" si="3"/>
        <v>75.872908774059752</v>
      </c>
      <c r="Z5">
        <f t="shared" si="4"/>
        <v>75.872908774059752</v>
      </c>
      <c r="AB5">
        <f t="shared" si="5"/>
        <v>1.0489342226828537</v>
      </c>
      <c r="AC5">
        <f t="shared" si="6"/>
        <v>1.0489342226828537</v>
      </c>
    </row>
    <row r="6" spans="1:29" x14ac:dyDescent="0.25">
      <c r="A6" t="s">
        <v>3</v>
      </c>
      <c r="B6" s="38">
        <f>INDICIb!B6</f>
        <v>10</v>
      </c>
      <c r="C6">
        <v>15</v>
      </c>
      <c r="D6">
        <f t="shared" si="0"/>
        <v>217</v>
      </c>
      <c r="E6">
        <v>20</v>
      </c>
      <c r="F6" s="4">
        <v>5.1119071743990201</v>
      </c>
      <c r="G6" s="39">
        <v>10.7509812</v>
      </c>
      <c r="H6" s="39">
        <v>-0.70400081599999997</v>
      </c>
      <c r="I6" s="39">
        <v>2.5917759299999999E-2</v>
      </c>
      <c r="J6" s="39">
        <v>-5.4563848999999998E-4</v>
      </c>
      <c r="K6" s="39">
        <v>6.5136416499999999E-6</v>
      </c>
      <c r="L6" s="39">
        <v>-4.0958264999999997E-8</v>
      </c>
      <c r="M6" s="39">
        <v>1.0524692200000001E-10</v>
      </c>
      <c r="O6">
        <f t="shared" si="1"/>
        <v>5.1119071743990201</v>
      </c>
      <c r="P6">
        <f t="shared" si="1"/>
        <v>107.509812</v>
      </c>
      <c r="Q6">
        <f t="shared" si="1"/>
        <v>-70.400081599999993</v>
      </c>
      <c r="R6">
        <f t="shared" si="1"/>
        <v>25.9177593</v>
      </c>
      <c r="S6">
        <f t="shared" si="1"/>
        <v>-5.4563848999999998</v>
      </c>
      <c r="T6">
        <f t="shared" si="1"/>
        <v>0.65136416499999994</v>
      </c>
      <c r="U6">
        <f t="shared" si="1"/>
        <v>-4.0958264999999994E-2</v>
      </c>
      <c r="V6">
        <f t="shared" si="1"/>
        <v>1.0524692200000001E-3</v>
      </c>
      <c r="X6">
        <f t="shared" si="2"/>
        <v>63.294470343619018</v>
      </c>
      <c r="Y6">
        <f t="shared" si="3"/>
        <v>63.294470343619018</v>
      </c>
      <c r="Z6">
        <f t="shared" si="4"/>
        <v>63.294470343619018</v>
      </c>
      <c r="AB6">
        <f t="shared" si="5"/>
        <v>0.87503876051086205</v>
      </c>
      <c r="AC6">
        <f t="shared" si="6"/>
        <v>0.87503876051086205</v>
      </c>
    </row>
    <row r="7" spans="1:29" x14ac:dyDescent="0.25">
      <c r="A7" t="s">
        <v>4</v>
      </c>
      <c r="B7" s="38">
        <f>INDICIb!B7</f>
        <v>0.34782608695652173</v>
      </c>
      <c r="C7">
        <v>10</v>
      </c>
      <c r="D7">
        <f t="shared" si="0"/>
        <v>217</v>
      </c>
      <c r="E7">
        <v>20</v>
      </c>
      <c r="F7" s="4">
        <v>0.42478448695403798</v>
      </c>
      <c r="G7" s="4">
        <v>-15.812614719999999</v>
      </c>
      <c r="H7" s="4">
        <v>310.39473544999998</v>
      </c>
      <c r="I7" s="4">
        <v>-533.68182508999996</v>
      </c>
      <c r="J7" s="4">
        <v>1306.7248644399999</v>
      </c>
      <c r="K7" s="4">
        <v>-1366.2860811999999</v>
      </c>
      <c r="L7" s="4">
        <v>99.639751480000001</v>
      </c>
      <c r="M7" s="4">
        <v>297.03436131000001</v>
      </c>
      <c r="O7">
        <f t="shared" si="1"/>
        <v>0.42478448695403798</v>
      </c>
      <c r="P7">
        <f t="shared" si="1"/>
        <v>-5.5000399026086955</v>
      </c>
      <c r="Q7">
        <f t="shared" si="1"/>
        <v>37.552482171644606</v>
      </c>
      <c r="R7">
        <f t="shared" si="1"/>
        <v>-22.457885628838657</v>
      </c>
      <c r="S7">
        <f t="shared" si="1"/>
        <v>19.126379067921565</v>
      </c>
      <c r="T7">
        <f t="shared" si="1"/>
        <v>-6.9558850901453795</v>
      </c>
      <c r="U7">
        <f t="shared" si="1"/>
        <v>0.17644345022289232</v>
      </c>
      <c r="V7">
        <f t="shared" si="1"/>
        <v>0.18295393246630329</v>
      </c>
      <c r="X7">
        <f t="shared" si="2"/>
        <v>22.549232487616671</v>
      </c>
      <c r="Y7">
        <f t="shared" si="3"/>
        <v>22.549232487616671</v>
      </c>
      <c r="Z7" s="4">
        <f>IF(B7&lt;=0.99,MAX(0,Y7),100)</f>
        <v>22.549232487616671</v>
      </c>
      <c r="AB7">
        <f t="shared" si="5"/>
        <v>0.20782702753563753</v>
      </c>
      <c r="AC7">
        <f t="shared" si="6"/>
        <v>0.20782702753563753</v>
      </c>
    </row>
    <row r="8" spans="1:29" x14ac:dyDescent="0.25">
      <c r="A8" t="s">
        <v>5</v>
      </c>
      <c r="B8" s="38">
        <f>INDICIb!B8</f>
        <v>0.13043478260869565</v>
      </c>
      <c r="C8">
        <v>8</v>
      </c>
      <c r="D8">
        <f t="shared" si="0"/>
        <v>217</v>
      </c>
      <c r="E8">
        <v>20</v>
      </c>
      <c r="F8" s="4">
        <v>-10.3512424133505</v>
      </c>
      <c r="G8" s="4">
        <v>756.39241809999999</v>
      </c>
      <c r="H8" s="4">
        <v>-2067.0547101799998</v>
      </c>
      <c r="I8" s="4">
        <v>2547.7004714999998</v>
      </c>
      <c r="J8" s="4">
        <v>-1296.3643753399999</v>
      </c>
      <c r="K8" s="4">
        <v>169.21058617</v>
      </c>
      <c r="L8" s="4"/>
      <c r="M8" s="4"/>
      <c r="O8">
        <f t="shared" si="1"/>
        <v>-10.3512424133505</v>
      </c>
      <c r="P8">
        <f t="shared" si="1"/>
        <v>98.65988062173912</v>
      </c>
      <c r="Q8">
        <f t="shared" si="1"/>
        <v>-35.167282403818518</v>
      </c>
      <c r="R8">
        <f t="shared" si="1"/>
        <v>5.6536461519273438</v>
      </c>
      <c r="S8">
        <f t="shared" si="1"/>
        <v>-0.37523277290511392</v>
      </c>
      <c r="T8">
        <f t="shared" si="1"/>
        <v>6.3884371046275812E-3</v>
      </c>
      <c r="U8">
        <f t="shared" si="1"/>
        <v>0</v>
      </c>
      <c r="V8">
        <f t="shared" si="1"/>
        <v>0</v>
      </c>
      <c r="X8">
        <f t="shared" si="2"/>
        <v>58.426157620696955</v>
      </c>
      <c r="Y8">
        <f t="shared" si="3"/>
        <v>58.426157620696955</v>
      </c>
      <c r="Z8" s="4">
        <f>IF(B8&gt;0.8,100,MAX(0,Y8))</f>
        <v>58.426157620696955</v>
      </c>
      <c r="AB8">
        <f t="shared" si="5"/>
        <v>0.43079194559039224</v>
      </c>
      <c r="AC8">
        <f t="shared" si="6"/>
        <v>0.43079194559039224</v>
      </c>
    </row>
    <row r="9" spans="1:29" x14ac:dyDescent="0.25">
      <c r="A9" t="s">
        <v>6</v>
      </c>
      <c r="B9" s="38">
        <f>INDICIb!B9</f>
        <v>0.5</v>
      </c>
      <c r="C9">
        <v>5</v>
      </c>
      <c r="D9">
        <f t="shared" si="0"/>
        <v>217</v>
      </c>
      <c r="E9">
        <v>20</v>
      </c>
      <c r="F9" s="4">
        <v>-0.15195453636360401</v>
      </c>
      <c r="G9" s="4">
        <v>49.4518512</v>
      </c>
      <c r="H9" s="4">
        <v>14.4772655</v>
      </c>
      <c r="I9" s="4">
        <v>2035.9807599999999</v>
      </c>
      <c r="J9" s="4">
        <v>-8673.3081700000002</v>
      </c>
      <c r="K9" s="4">
        <v>15676.275799999999</v>
      </c>
      <c r="L9" s="4">
        <v>-13524.6528</v>
      </c>
      <c r="M9" s="4">
        <v>4521.7960400000002</v>
      </c>
      <c r="O9">
        <f t="shared" si="1"/>
        <v>-0.15195453636360401</v>
      </c>
      <c r="P9">
        <f t="shared" si="1"/>
        <v>24.7259256</v>
      </c>
      <c r="Q9">
        <f t="shared" si="1"/>
        <v>3.6193163749999999</v>
      </c>
      <c r="R9">
        <f t="shared" si="1"/>
        <v>254.49759499999999</v>
      </c>
      <c r="S9">
        <f t="shared" si="1"/>
        <v>-542.08176062500002</v>
      </c>
      <c r="T9">
        <f t="shared" si="1"/>
        <v>489.88361874999998</v>
      </c>
      <c r="U9">
        <f t="shared" si="1"/>
        <v>-211.3227</v>
      </c>
      <c r="V9">
        <f t="shared" si="1"/>
        <v>35.326531562500001</v>
      </c>
      <c r="X9">
        <f t="shared" si="2"/>
        <v>54.49657212613635</v>
      </c>
      <c r="Y9">
        <f t="shared" si="3"/>
        <v>54.49657212613635</v>
      </c>
      <c r="Z9" s="4">
        <f>IF(B9&lt;=0.99,MAX(0,Y9),100)</f>
        <v>54.49657212613635</v>
      </c>
      <c r="AB9">
        <f t="shared" si="5"/>
        <v>0.25113627707896935</v>
      </c>
      <c r="AC9">
        <f t="shared" si="6"/>
        <v>0.25113627707896935</v>
      </c>
    </row>
    <row r="10" spans="1:29" x14ac:dyDescent="0.25">
      <c r="A10" t="s">
        <v>7</v>
      </c>
      <c r="B10" s="38">
        <f>INDICIb!B10</f>
        <v>0.30434782608695654</v>
      </c>
      <c r="C10">
        <v>13</v>
      </c>
      <c r="D10">
        <f t="shared" si="0"/>
        <v>217</v>
      </c>
      <c r="E10">
        <v>20</v>
      </c>
      <c r="F10" s="4">
        <v>-1.0391196952347999E-2</v>
      </c>
      <c r="G10" s="4">
        <v>14.00388871</v>
      </c>
      <c r="H10" s="4">
        <v>-208.58255577</v>
      </c>
      <c r="I10" s="4">
        <v>1944.7226809700001</v>
      </c>
      <c r="J10" s="4">
        <v>-6596.5107526700003</v>
      </c>
      <c r="K10" s="4">
        <v>11302.133084540001</v>
      </c>
      <c r="L10" s="4">
        <v>-9004.4059625200007</v>
      </c>
      <c r="M10" s="4">
        <v>2649.8628876299999</v>
      </c>
      <c r="O10">
        <f t="shared" si="1"/>
        <v>-1.0391196952347999E-2</v>
      </c>
      <c r="P10">
        <f t="shared" si="1"/>
        <v>4.2620530856521741</v>
      </c>
      <c r="Q10">
        <f t="shared" si="1"/>
        <v>-19.320501385122874</v>
      </c>
      <c r="R10">
        <f t="shared" si="1"/>
        <v>54.823693562316933</v>
      </c>
      <c r="S10">
        <f t="shared" si="1"/>
        <v>-56.597218839128914</v>
      </c>
      <c r="T10">
        <f t="shared" si="1"/>
        <v>29.512869458924708</v>
      </c>
      <c r="U10">
        <f t="shared" si="1"/>
        <v>-7.156098188355636</v>
      </c>
      <c r="V10">
        <f t="shared" si="1"/>
        <v>0.64093624358637313</v>
      </c>
      <c r="X10">
        <f t="shared" si="2"/>
        <v>6.1553427409204122</v>
      </c>
      <c r="Y10">
        <f t="shared" si="3"/>
        <v>6.1553427409204122</v>
      </c>
      <c r="Z10">
        <f t="shared" si="4"/>
        <v>6.1553427409204122</v>
      </c>
      <c r="AB10">
        <f t="shared" si="5"/>
        <v>7.3750650352041799E-2</v>
      </c>
      <c r="AC10">
        <f t="shared" si="6"/>
        <v>7.3750650352041799E-2</v>
      </c>
    </row>
    <row r="11" spans="1:29" x14ac:dyDescent="0.25">
      <c r="A11" t="s">
        <v>8</v>
      </c>
      <c r="B11" s="38">
        <f>INDICIb!B11</f>
        <v>8.6956521739130432E-2</v>
      </c>
      <c r="C11">
        <v>11</v>
      </c>
      <c r="D11">
        <f t="shared" si="0"/>
        <v>217</v>
      </c>
      <c r="E11">
        <v>20</v>
      </c>
      <c r="F11" s="4">
        <v>-7.4533453790642801</v>
      </c>
      <c r="G11" s="4">
        <v>1505.78792922</v>
      </c>
      <c r="H11" s="4">
        <v>-10265.42570227</v>
      </c>
      <c r="I11" s="4">
        <v>36310.581295030002</v>
      </c>
      <c r="J11" s="4">
        <v>-62787.594330120002</v>
      </c>
      <c r="K11" s="4">
        <v>41769.37478143</v>
      </c>
      <c r="L11" s="4"/>
      <c r="M11" s="4"/>
      <c r="O11">
        <f t="shared" si="1"/>
        <v>-7.4533453790642801</v>
      </c>
      <c r="P11">
        <f t="shared" si="1"/>
        <v>130.93808080173912</v>
      </c>
      <c r="Q11">
        <f t="shared" si="1"/>
        <v>-77.621366368771263</v>
      </c>
      <c r="R11">
        <f t="shared" si="1"/>
        <v>23.874796610523546</v>
      </c>
      <c r="S11">
        <f t="shared" si="1"/>
        <v>-3.5899010841224834</v>
      </c>
      <c r="T11">
        <f t="shared" si="1"/>
        <v>0.20766761389282076</v>
      </c>
      <c r="U11">
        <f t="shared" si="1"/>
        <v>0</v>
      </c>
      <c r="V11">
        <f t="shared" si="1"/>
        <v>0</v>
      </c>
      <c r="X11">
        <f t="shared" si="2"/>
        <v>66.355932194197464</v>
      </c>
      <c r="Y11">
        <f t="shared" si="3"/>
        <v>66.355932194197464</v>
      </c>
      <c r="Z11">
        <f t="shared" si="4"/>
        <v>66.355932194197464</v>
      </c>
      <c r="AB11">
        <f t="shared" si="5"/>
        <v>0.67273295312089587</v>
      </c>
      <c r="AC11">
        <f t="shared" si="6"/>
        <v>0.67273295312089587</v>
      </c>
    </row>
    <row r="12" spans="1:29" x14ac:dyDescent="0.25">
      <c r="A12" t="s">
        <v>9</v>
      </c>
      <c r="B12" s="38">
        <f>INDICIb!B12</f>
        <v>0.13043478260869565</v>
      </c>
      <c r="C12">
        <v>13</v>
      </c>
      <c r="D12">
        <f t="shared" si="0"/>
        <v>217</v>
      </c>
      <c r="E12">
        <v>20</v>
      </c>
      <c r="F12" s="4">
        <v>-5.7751519100170103</v>
      </c>
      <c r="G12" s="4">
        <v>834.58423540000001</v>
      </c>
      <c r="H12" s="4">
        <v>-2051.32044331</v>
      </c>
      <c r="I12" s="4">
        <v>-3672.4573107900001</v>
      </c>
      <c r="J12" s="4">
        <v>29428.370122529999</v>
      </c>
      <c r="K12" s="4">
        <v>-59827.439618900004</v>
      </c>
      <c r="L12" s="4">
        <v>52647.218590060002</v>
      </c>
      <c r="M12" s="4">
        <v>-17253.231352489998</v>
      </c>
      <c r="O12">
        <f t="shared" si="1"/>
        <v>-5.7751519100170103</v>
      </c>
      <c r="P12">
        <f t="shared" si="1"/>
        <v>108.85881331304347</v>
      </c>
      <c r="Q12">
        <f t="shared" si="1"/>
        <v>-34.899591663119089</v>
      </c>
      <c r="R12">
        <f t="shared" si="1"/>
        <v>-8.1496134948080865</v>
      </c>
      <c r="S12">
        <f t="shared" si="1"/>
        <v>8.5180441033477212</v>
      </c>
      <c r="T12">
        <f t="shared" si="1"/>
        <v>-2.2587465937400633</v>
      </c>
      <c r="U12">
        <f t="shared" si="1"/>
        <v>0.2592602551409256</v>
      </c>
      <c r="V12">
        <f t="shared" si="1"/>
        <v>-1.1082158999117591E-2</v>
      </c>
      <c r="X12">
        <f t="shared" si="2"/>
        <v>66.541931850848755</v>
      </c>
      <c r="Y12">
        <f t="shared" si="3"/>
        <v>66.541931850848755</v>
      </c>
      <c r="Z12" s="4">
        <f>IF(B12&lt;=0.99,MAX(0,Y12),100)</f>
        <v>66.541931850848755</v>
      </c>
      <c r="AB12">
        <f t="shared" si="5"/>
        <v>0.79727660282122925</v>
      </c>
      <c r="AC12">
        <f t="shared" si="6"/>
        <v>0.79727660282122925</v>
      </c>
    </row>
    <row r="13" spans="1:29" x14ac:dyDescent="0.25">
      <c r="A13" t="s">
        <v>10</v>
      </c>
      <c r="B13" s="38">
        <f>INDICIb!B13</f>
        <v>0.13043478260869565</v>
      </c>
      <c r="C13">
        <v>11</v>
      </c>
      <c r="D13">
        <f t="shared" si="0"/>
        <v>217</v>
      </c>
      <c r="E13">
        <v>20</v>
      </c>
      <c r="F13" s="4">
        <v>-0.95250302492097205</v>
      </c>
      <c r="G13" s="4">
        <v>126.4984698</v>
      </c>
      <c r="H13" s="4">
        <v>1159.1470811199999</v>
      </c>
      <c r="I13" s="4">
        <v>-3892.5611201500001</v>
      </c>
      <c r="J13" s="4">
        <v>4461.48124362</v>
      </c>
      <c r="K13" s="4">
        <v>-1756.33249112</v>
      </c>
      <c r="L13" s="4"/>
      <c r="M13" s="4"/>
      <c r="O13">
        <f t="shared" si="1"/>
        <v>-0.95250302492097205</v>
      </c>
      <c r="P13">
        <f t="shared" si="1"/>
        <v>16.499800408695652</v>
      </c>
      <c r="Q13">
        <f t="shared" si="1"/>
        <v>19.720838809224951</v>
      </c>
      <c r="R13">
        <f t="shared" si="1"/>
        <v>-8.6380496625339021</v>
      </c>
      <c r="S13">
        <f t="shared" si="1"/>
        <v>1.2913761054785395</v>
      </c>
      <c r="T13">
        <f t="shared" si="1"/>
        <v>-6.6309206228157822E-2</v>
      </c>
      <c r="U13">
        <f t="shared" si="1"/>
        <v>0</v>
      </c>
      <c r="V13">
        <f t="shared" si="1"/>
        <v>0</v>
      </c>
      <c r="X13">
        <f t="shared" si="2"/>
        <v>27.855153429716115</v>
      </c>
      <c r="Y13">
        <f t="shared" si="3"/>
        <v>27.855153429716115</v>
      </c>
      <c r="Z13" s="4">
        <f>IF(B13&gt;=0.98,100,MAX(0,Y13))</f>
        <v>27.855153429716115</v>
      </c>
      <c r="AB13">
        <f t="shared" si="5"/>
        <v>0.28240247716762878</v>
      </c>
      <c r="AC13">
        <f t="shared" si="6"/>
        <v>0.28240247716762878</v>
      </c>
    </row>
    <row r="14" spans="1:29" x14ac:dyDescent="0.25">
      <c r="A14" t="s">
        <v>11</v>
      </c>
      <c r="B14" s="38">
        <f>INDICIb!B14</f>
        <v>4.3478260869565216E-2</v>
      </c>
      <c r="C14">
        <v>11</v>
      </c>
      <c r="D14">
        <f t="shared" si="0"/>
        <v>217</v>
      </c>
      <c r="E14">
        <v>20</v>
      </c>
      <c r="F14" s="4">
        <v>-2.68138650048268</v>
      </c>
      <c r="G14" s="4">
        <v>713.19444534000002</v>
      </c>
      <c r="H14" s="4">
        <v>-2904.7328930499998</v>
      </c>
      <c r="I14" s="4">
        <v>7735.0538082399999</v>
      </c>
      <c r="J14" s="4">
        <v>-12223.81313088</v>
      </c>
      <c r="K14" s="4">
        <v>10080.11069748</v>
      </c>
      <c r="L14" s="4">
        <v>-3297.13046919</v>
      </c>
      <c r="M14" s="4"/>
      <c r="O14">
        <f t="shared" si="1"/>
        <v>-2.68138650048268</v>
      </c>
      <c r="P14">
        <f t="shared" si="1"/>
        <v>31.008454145217392</v>
      </c>
      <c r="Q14">
        <f t="shared" si="1"/>
        <v>-5.4909884556710766</v>
      </c>
      <c r="R14">
        <f t="shared" si="1"/>
        <v>0.63574042970658329</v>
      </c>
      <c r="S14">
        <f t="shared" si="1"/>
        <v>-4.3681280194396099E-2</v>
      </c>
      <c r="T14">
        <f t="shared" si="1"/>
        <v>1.5661239150057723E-3</v>
      </c>
      <c r="U14">
        <f t="shared" si="1"/>
        <v>-2.2272507642994592E-5</v>
      </c>
      <c r="V14">
        <f t="shared" si="1"/>
        <v>0</v>
      </c>
      <c r="X14">
        <f t="shared" si="2"/>
        <v>23.429682189983186</v>
      </c>
      <c r="Y14">
        <f t="shared" si="3"/>
        <v>23.429682189983186</v>
      </c>
      <c r="Z14">
        <f t="shared" si="4"/>
        <v>23.429682189983186</v>
      </c>
      <c r="AB14">
        <f t="shared" si="5"/>
        <v>0.23753594846987558</v>
      </c>
      <c r="AC14">
        <f t="shared" si="6"/>
        <v>0.23753594846987558</v>
      </c>
    </row>
    <row r="15" spans="1:29" s="40" customFormat="1" x14ac:dyDescent="0.25">
      <c r="A15" s="40" t="s">
        <v>12</v>
      </c>
      <c r="B15" s="38">
        <f>INDICIb!B15</f>
        <v>125.33217347826087</v>
      </c>
      <c r="C15" s="40">
        <v>75</v>
      </c>
      <c r="D15" s="40">
        <f t="shared" si="0"/>
        <v>217</v>
      </c>
      <c r="E15" s="40">
        <v>20</v>
      </c>
      <c r="F15" s="41">
        <v>-2.56570131238735</v>
      </c>
      <c r="G15" s="41">
        <v>1.8994089700000001</v>
      </c>
      <c r="H15" s="41">
        <v>-2.1644863199999999E-2</v>
      </c>
      <c r="I15" s="41">
        <v>1.43505404E-4</v>
      </c>
      <c r="J15" s="41">
        <v>-5.2681171900000003E-7</v>
      </c>
      <c r="K15" s="41">
        <v>9.8804034199999999E-10</v>
      </c>
      <c r="L15" s="41">
        <v>-7.3691053299999999E-13</v>
      </c>
      <c r="M15" s="41"/>
      <c r="O15" s="40">
        <f t="shared" si="1"/>
        <v>-2.56570131238735</v>
      </c>
      <c r="P15" s="40">
        <f t="shared" si="1"/>
        <v>238.05705453420481</v>
      </c>
      <c r="Q15" s="40">
        <f t="shared" si="1"/>
        <v>-340.00083815122127</v>
      </c>
      <c r="R15" s="40">
        <f t="shared" si="1"/>
        <v>282.52440510614468</v>
      </c>
      <c r="S15" s="40">
        <f t="shared" si="1"/>
        <v>-129.98873337762939</v>
      </c>
      <c r="T15" s="40">
        <f t="shared" si="1"/>
        <v>30.555369021178457</v>
      </c>
      <c r="U15" s="40">
        <f t="shared" si="1"/>
        <v>-2.8562103665480874</v>
      </c>
      <c r="V15" s="40">
        <f t="shared" si="1"/>
        <v>0</v>
      </c>
      <c r="X15" s="40">
        <f t="shared" si="2"/>
        <v>75.725345453741852</v>
      </c>
      <c r="Y15" s="40">
        <f t="shared" si="3"/>
        <v>75.725345453741852</v>
      </c>
      <c r="Z15" s="40">
        <f t="shared" si="4"/>
        <v>75.725345453741852</v>
      </c>
      <c r="AB15" s="40">
        <f t="shared" si="5"/>
        <v>5.2344708838992062</v>
      </c>
    </row>
    <row r="16" spans="1:29" s="40" customFormat="1" x14ac:dyDescent="0.25">
      <c r="B16" s="42">
        <f>B15</f>
        <v>125.33217347826087</v>
      </c>
      <c r="C16" s="40">
        <v>75</v>
      </c>
      <c r="D16" s="40">
        <f t="shared" si="0"/>
        <v>217</v>
      </c>
      <c r="E16" s="40">
        <v>20</v>
      </c>
      <c r="F16" s="41">
        <v>87.209259370572795</v>
      </c>
      <c r="G16" s="41">
        <v>2.0298215800000002E-2</v>
      </c>
      <c r="H16" s="41">
        <v>-1.0834392000000001E-5</v>
      </c>
      <c r="I16" s="41">
        <v>1.6301797799999999E-9</v>
      </c>
      <c r="J16" s="41">
        <v>1.3905924499999999E-13</v>
      </c>
      <c r="K16" s="41"/>
      <c r="L16" s="41"/>
      <c r="M16" s="41"/>
      <c r="N16" s="43">
        <v>393.08510000000001</v>
      </c>
      <c r="O16" s="40">
        <f t="shared" si="1"/>
        <v>87.209259370572795</v>
      </c>
      <c r="P16" s="40">
        <f t="shared" si="1"/>
        <v>2.5440195039447762</v>
      </c>
      <c r="Q16" s="40">
        <f t="shared" si="1"/>
        <v>-0.17018829487722922</v>
      </c>
      <c r="R16" s="40">
        <f t="shared" si="1"/>
        <v>3.2093953239598263E-3</v>
      </c>
      <c r="S16" s="40">
        <f t="shared" si="1"/>
        <v>3.4312325390771042E-5</v>
      </c>
      <c r="T16" s="40">
        <f t="shared" si="1"/>
        <v>0</v>
      </c>
      <c r="U16" s="40">
        <f t="shared" si="1"/>
        <v>0</v>
      </c>
      <c r="V16" s="40">
        <f t="shared" si="1"/>
        <v>0</v>
      </c>
      <c r="X16" s="40">
        <f t="shared" si="2"/>
        <v>89.586334287289702</v>
      </c>
      <c r="Y16" s="40">
        <f t="shared" si="3"/>
        <v>89.586334287289702</v>
      </c>
      <c r="Z16" s="40">
        <f t="shared" si="4"/>
        <v>89.586334287289702</v>
      </c>
      <c r="AB16" s="40">
        <f t="shared" si="5"/>
        <v>6.1926037525776287</v>
      </c>
      <c r="AC16" s="44"/>
    </row>
    <row r="17" spans="1:34" s="40" customFormat="1" x14ac:dyDescent="0.25">
      <c r="B17" s="42"/>
      <c r="F17" s="41"/>
      <c r="G17" s="41"/>
      <c r="H17" s="41"/>
      <c r="I17" s="41"/>
      <c r="J17" s="41"/>
      <c r="K17" s="41"/>
      <c r="L17" s="41"/>
      <c r="M17" s="41"/>
      <c r="N17" s="43"/>
      <c r="AC17" s="44">
        <f>IF(B16&gt;393.085,AB16,AB15)</f>
        <v>5.2344708838992062</v>
      </c>
    </row>
    <row r="18" spans="1:34" x14ac:dyDescent="0.25">
      <c r="A18" t="s">
        <v>22</v>
      </c>
      <c r="F18" s="4"/>
      <c r="G18" s="4"/>
      <c r="H18" s="4"/>
      <c r="I18" s="4"/>
      <c r="J18" s="4"/>
      <c r="K18" s="4"/>
      <c r="L18" s="4"/>
      <c r="M18" s="4"/>
    </row>
    <row r="19" spans="1:34" x14ac:dyDescent="0.25">
      <c r="A19" t="s">
        <v>23</v>
      </c>
      <c r="B19" s="38">
        <f>INDICIb!B17</f>
        <v>0.34782608695652173</v>
      </c>
      <c r="C19">
        <v>20</v>
      </c>
      <c r="D19">
        <f>SUM(C$19:C$21)</f>
        <v>200</v>
      </c>
      <c r="E19">
        <v>20</v>
      </c>
      <c r="F19" s="4">
        <v>-0.11068843248408899</v>
      </c>
      <c r="G19" s="4">
        <v>67.192853639999996</v>
      </c>
      <c r="H19" s="4">
        <v>166.05871191</v>
      </c>
      <c r="I19" s="4">
        <v>597.05189197000004</v>
      </c>
      <c r="J19" s="4">
        <v>-3327.8575949999999</v>
      </c>
      <c r="K19" s="4">
        <v>5537.2079525099998</v>
      </c>
      <c r="L19" s="4">
        <v>-4040.27987807</v>
      </c>
      <c r="M19" s="4">
        <v>1100.7692582499999</v>
      </c>
      <c r="O19">
        <f>$B19^F$1*F19</f>
        <v>-0.11068843248408899</v>
      </c>
      <c r="P19">
        <f t="shared" ref="P19:V21" si="7">$B19^G$1*G19</f>
        <v>23.371427353043476</v>
      </c>
      <c r="Q19">
        <f t="shared" si="7"/>
        <v>20.090278945633269</v>
      </c>
      <c r="R19">
        <f t="shared" si="7"/>
        <v>25.124563876768306</v>
      </c>
      <c r="S19">
        <f t="shared" si="7"/>
        <v>-48.709462548804488</v>
      </c>
      <c r="T19">
        <f t="shared" si="7"/>
        <v>28.190422758365678</v>
      </c>
      <c r="U19">
        <f t="shared" si="7"/>
        <v>-7.1545834966869544</v>
      </c>
      <c r="V19">
        <f t="shared" si="7"/>
        <v>0.67800258410060665</v>
      </c>
      <c r="X19">
        <f>SUM(O19:V19)</f>
        <v>41.479961039935809</v>
      </c>
      <c r="Y19">
        <f>MIN(X19,100)</f>
        <v>41.479961039935809</v>
      </c>
      <c r="Z19">
        <f>MAX(0,Y19)</f>
        <v>41.479961039935809</v>
      </c>
      <c r="AB19">
        <f t="shared" ref="AB19:AB21" si="8">IF(B19&gt;0,Z19*C19/D19*E19/100,0)</f>
        <v>0.82959922079871617</v>
      </c>
      <c r="AC19">
        <f>AB19</f>
        <v>0.82959922079871617</v>
      </c>
    </row>
    <row r="20" spans="1:34" x14ac:dyDescent="0.25">
      <c r="A20" t="s">
        <v>24</v>
      </c>
      <c r="B20" s="38">
        <f>INDICIb!B18</f>
        <v>0.21739130434782608</v>
      </c>
      <c r="C20">
        <v>60</v>
      </c>
      <c r="D20">
        <f t="shared" ref="D20:D21" si="9">SUM(C$19:C$21)</f>
        <v>200</v>
      </c>
      <c r="E20">
        <v>20</v>
      </c>
      <c r="F20" s="4">
        <v>-0.73363804414400102</v>
      </c>
      <c r="G20" s="4">
        <v>340.44708388999999</v>
      </c>
      <c r="H20" s="4">
        <v>-1147.2220040100001</v>
      </c>
      <c r="I20" s="4">
        <v>3880.3434563999999</v>
      </c>
      <c r="J20" s="4">
        <v>-8343.9690140000002</v>
      </c>
      <c r="K20" s="4">
        <v>10382.46695023</v>
      </c>
      <c r="L20" s="4">
        <v>-6895.25971759</v>
      </c>
      <c r="M20" s="4">
        <v>1884.38312352</v>
      </c>
      <c r="O20">
        <f>$B20^F$1*F20</f>
        <v>-0.73363804414400102</v>
      </c>
      <c r="P20">
        <f t="shared" si="7"/>
        <v>74.010235628260858</v>
      </c>
      <c r="Q20">
        <f t="shared" si="7"/>
        <v>-54.216540832230628</v>
      </c>
      <c r="R20">
        <f t="shared" si="7"/>
        <v>39.865450156160108</v>
      </c>
      <c r="S20">
        <f t="shared" si="7"/>
        <v>-18.635513144071098</v>
      </c>
      <c r="T20">
        <f t="shared" si="7"/>
        <v>5.0409384986892016</v>
      </c>
      <c r="U20">
        <f t="shared" si="7"/>
        <v>-0.72778590256139675</v>
      </c>
      <c r="V20">
        <f t="shared" si="7"/>
        <v>4.3237879244210201E-2</v>
      </c>
      <c r="X20">
        <f>SUM(O20:V20)</f>
        <v>44.646384239347256</v>
      </c>
      <c r="Y20">
        <f>MIN(X20,100)</f>
        <v>44.646384239347256</v>
      </c>
      <c r="Z20">
        <f>MAX(0,Y20)</f>
        <v>44.646384239347256</v>
      </c>
      <c r="AB20">
        <f t="shared" si="8"/>
        <v>2.6787830543608351</v>
      </c>
      <c r="AC20">
        <f t="shared" ref="AC20:AC21" si="10">AB20</f>
        <v>2.6787830543608351</v>
      </c>
    </row>
    <row r="21" spans="1:34" x14ac:dyDescent="0.25">
      <c r="A21" t="s">
        <v>25</v>
      </c>
      <c r="B21" s="38">
        <f>INDICIb!B19</f>
        <v>8.6956521739130432E-2</v>
      </c>
      <c r="C21">
        <v>120</v>
      </c>
      <c r="D21">
        <f t="shared" si="9"/>
        <v>200</v>
      </c>
      <c r="E21">
        <v>20</v>
      </c>
      <c r="F21" s="4">
        <v>-0.94670385802729096</v>
      </c>
      <c r="G21" s="4">
        <v>655.69896957000003</v>
      </c>
      <c r="H21" s="4">
        <v>-3747.17274696</v>
      </c>
      <c r="I21" s="4">
        <v>15168.62758119</v>
      </c>
      <c r="J21" s="4">
        <v>-35825.862214920002</v>
      </c>
      <c r="K21" s="4">
        <v>47219.47630065</v>
      </c>
      <c r="L21" s="4">
        <v>-32240.560440519999</v>
      </c>
      <c r="M21" s="4">
        <v>8872.4795265699995</v>
      </c>
      <c r="O21">
        <f>$B21^F$1*F21</f>
        <v>-0.94670385802729096</v>
      </c>
      <c r="P21">
        <f t="shared" si="7"/>
        <v>57.017301701739129</v>
      </c>
      <c r="Q21">
        <f t="shared" si="7"/>
        <v>-28.334009428809072</v>
      </c>
      <c r="R21">
        <f t="shared" si="7"/>
        <v>9.9736188583479883</v>
      </c>
      <c r="S21">
        <f t="shared" si="7"/>
        <v>-2.0483552997549319</v>
      </c>
      <c r="T21">
        <f t="shared" si="7"/>
        <v>0.23476425069652124</v>
      </c>
      <c r="U21">
        <f t="shared" si="7"/>
        <v>-1.3938483986091234E-2</v>
      </c>
      <c r="V21">
        <f t="shared" si="7"/>
        <v>3.3354936899969651E-4</v>
      </c>
      <c r="X21">
        <f>SUM(O21:V21)</f>
        <v>35.883011289575258</v>
      </c>
      <c r="Y21">
        <f>MIN(X21,100)</f>
        <v>35.883011289575258</v>
      </c>
      <c r="Z21">
        <f>MAX(0,Y21)</f>
        <v>35.883011289575258</v>
      </c>
      <c r="AB21">
        <f t="shared" si="8"/>
        <v>4.305961354749031</v>
      </c>
      <c r="AC21">
        <f t="shared" si="10"/>
        <v>4.305961354749031</v>
      </c>
    </row>
    <row r="22" spans="1:34" x14ac:dyDescent="0.25">
      <c r="A22" t="s">
        <v>26</v>
      </c>
      <c r="F22" s="4"/>
      <c r="G22" s="4"/>
      <c r="H22" s="4"/>
      <c r="I22" s="4"/>
      <c r="J22" s="4"/>
      <c r="K22" s="4"/>
      <c r="L22" s="4"/>
      <c r="M22" s="4"/>
    </row>
    <row r="23" spans="1:34" s="40" customFormat="1" x14ac:dyDescent="0.25">
      <c r="A23" s="40" t="s">
        <v>13</v>
      </c>
      <c r="B23" s="38">
        <f>INDICIb!B21</f>
        <v>2882.6399900000001</v>
      </c>
      <c r="C23" s="40">
        <v>85</v>
      </c>
      <c r="D23" s="40">
        <v>100</v>
      </c>
      <c r="E23" s="40">
        <v>40</v>
      </c>
      <c r="F23" s="41">
        <v>-4.5511685173249798</v>
      </c>
      <c r="G23" s="41">
        <v>0.36458814899999997</v>
      </c>
      <c r="H23" s="41">
        <v>-6.9467132500000001E-4</v>
      </c>
      <c r="I23" s="41">
        <v>7.1751583199999995E-7</v>
      </c>
      <c r="J23" s="41">
        <v>-3.7340575099999999E-10</v>
      </c>
      <c r="K23" s="41">
        <v>7.6172358399999997E-14</v>
      </c>
      <c r="L23" s="41"/>
      <c r="M23" s="41"/>
      <c r="O23" s="40">
        <f t="shared" ref="O23:V29" si="11">$B23^F$1*F23</f>
        <v>-4.5511685173249798</v>
      </c>
      <c r="P23" s="40">
        <f t="shared" si="11"/>
        <v>1050.9763781874785</v>
      </c>
      <c r="Q23" s="40">
        <f t="shared" si="11"/>
        <v>-5772.4500896480004</v>
      </c>
      <c r="R23" s="40">
        <f t="shared" si="11"/>
        <v>17187.104191491089</v>
      </c>
      <c r="S23" s="40">
        <f t="shared" si="11"/>
        <v>-25783.54515002494</v>
      </c>
      <c r="T23" s="40">
        <f t="shared" si="11"/>
        <v>15161.753724513288</v>
      </c>
      <c r="U23" s="40">
        <f t="shared" si="11"/>
        <v>0</v>
      </c>
      <c r="V23" s="40">
        <f t="shared" si="11"/>
        <v>0</v>
      </c>
      <c r="X23" s="40">
        <f t="shared" ref="X23:X29" si="12">SUM(O23:V23)</f>
        <v>1839.2878860015917</v>
      </c>
      <c r="Y23" s="40">
        <f t="shared" ref="Y23:Y38" si="13">MIN(X23,100)</f>
        <v>100</v>
      </c>
      <c r="Z23" s="40">
        <f t="shared" ref="Z23:Z38" si="14">MAX(0,Y23)</f>
        <v>100</v>
      </c>
      <c r="AB23" s="40">
        <f t="shared" ref="AB23:AB25" si="15">IF(B23&gt;0,Z23*C23/D23*E23/100,0)</f>
        <v>34</v>
      </c>
      <c r="AD23" s="40">
        <f>IF(B23&lt;=1100,1,0)</f>
        <v>0</v>
      </c>
      <c r="AE23" s="40">
        <v>1</v>
      </c>
      <c r="AF23" s="40">
        <v>1</v>
      </c>
      <c r="AG23" s="45">
        <f>AD23*AE23*AF23</f>
        <v>0</v>
      </c>
      <c r="AH23" s="40">
        <f t="shared" ref="AH23:AH25" si="16">AG23*AB23</f>
        <v>0</v>
      </c>
    </row>
    <row r="24" spans="1:34" s="40" customFormat="1" x14ac:dyDescent="0.25">
      <c r="B24" s="42">
        <f>B23</f>
        <v>2882.6399900000001</v>
      </c>
      <c r="C24" s="40">
        <v>85</v>
      </c>
      <c r="D24" s="40">
        <v>100</v>
      </c>
      <c r="E24" s="40">
        <v>40</v>
      </c>
      <c r="F24" s="41">
        <v>74.121017709745701</v>
      </c>
      <c r="G24" s="41">
        <v>1.60737281E-2</v>
      </c>
      <c r="H24" s="41">
        <v>-4.1873155899999997E-6</v>
      </c>
      <c r="I24" s="41">
        <v>3.9413932800000002E-10</v>
      </c>
      <c r="J24" s="41"/>
      <c r="K24" s="41"/>
      <c r="L24" s="41"/>
      <c r="M24" s="41"/>
      <c r="O24" s="40">
        <f t="shared" si="11"/>
        <v>74.121017709745701</v>
      </c>
      <c r="P24" s="40">
        <f t="shared" si="11"/>
        <v>46.334771409446724</v>
      </c>
      <c r="Q24" s="40">
        <f t="shared" si="11"/>
        <v>-34.794973367988042</v>
      </c>
      <c r="R24" s="40">
        <f t="shared" si="11"/>
        <v>9.4410651224491478</v>
      </c>
      <c r="S24" s="40">
        <f t="shared" si="11"/>
        <v>0</v>
      </c>
      <c r="T24" s="40">
        <f t="shared" si="11"/>
        <v>0</v>
      </c>
      <c r="U24" s="40">
        <f t="shared" si="11"/>
        <v>0</v>
      </c>
      <c r="V24" s="40">
        <f t="shared" si="11"/>
        <v>0</v>
      </c>
      <c r="X24" s="40">
        <f t="shared" si="12"/>
        <v>95.101880873653528</v>
      </c>
      <c r="Y24" s="40">
        <f t="shared" si="13"/>
        <v>95.101880873653528</v>
      </c>
      <c r="Z24" s="40">
        <f t="shared" si="14"/>
        <v>95.101880873653528</v>
      </c>
      <c r="AB24" s="40">
        <f t="shared" si="15"/>
        <v>32.334639497042197</v>
      </c>
      <c r="AC24" s="44"/>
      <c r="AD24" s="40">
        <f>IF(B24&gt;1100,1,0)</f>
        <v>1</v>
      </c>
      <c r="AE24" s="40">
        <f>IF(B24&lt;=4200,1,0)</f>
        <v>1</v>
      </c>
      <c r="AF24" s="40">
        <v>1</v>
      </c>
      <c r="AG24" s="45">
        <f t="shared" ref="AG24:AG26" si="17">AD24*AE24*AF24</f>
        <v>1</v>
      </c>
      <c r="AH24" s="40">
        <f t="shared" si="16"/>
        <v>32.334639497042197</v>
      </c>
    </row>
    <row r="25" spans="1:34" s="40" customFormat="1" x14ac:dyDescent="0.25">
      <c r="B25" s="42">
        <f>B24</f>
        <v>2882.6399900000001</v>
      </c>
      <c r="C25" s="40">
        <v>85</v>
      </c>
      <c r="D25" s="40">
        <v>100</v>
      </c>
      <c r="E25" s="40">
        <v>40</v>
      </c>
      <c r="F25" s="41">
        <v>91.400203034900002</v>
      </c>
      <c r="G25" s="41">
        <v>1.8892223E-3</v>
      </c>
      <c r="H25" s="41">
        <v>-1.70347587E-7</v>
      </c>
      <c r="I25" s="41">
        <v>7.0054666300000004E-12</v>
      </c>
      <c r="J25" s="41">
        <v>-1.0747874E-16</v>
      </c>
      <c r="K25" s="41"/>
      <c r="L25" s="41"/>
      <c r="M25" s="41"/>
      <c r="O25" s="40">
        <f t="shared" si="11"/>
        <v>91.400203034900002</v>
      </c>
      <c r="P25" s="40">
        <f t="shared" si="11"/>
        <v>5.4459477519797774</v>
      </c>
      <c r="Q25" s="40">
        <f t="shared" si="11"/>
        <v>-1.4155225765932837</v>
      </c>
      <c r="R25" s="40">
        <f t="shared" si="11"/>
        <v>0.16780631103875623</v>
      </c>
      <c r="S25" s="40">
        <f t="shared" si="11"/>
        <v>-7.4213718938083307E-3</v>
      </c>
      <c r="T25" s="40">
        <f t="shared" si="11"/>
        <v>0</v>
      </c>
      <c r="U25" s="40">
        <f t="shared" si="11"/>
        <v>0</v>
      </c>
      <c r="V25" s="40">
        <f t="shared" si="11"/>
        <v>0</v>
      </c>
      <c r="X25" s="40">
        <f t="shared" si="12"/>
        <v>95.591013149431433</v>
      </c>
      <c r="Y25" s="40">
        <f t="shared" si="13"/>
        <v>95.591013149431433</v>
      </c>
      <c r="Z25" s="40">
        <f t="shared" si="14"/>
        <v>95.591013149431433</v>
      </c>
      <c r="AB25" s="40">
        <f t="shared" si="15"/>
        <v>32.500944470806687</v>
      </c>
      <c r="AC25" s="44"/>
      <c r="AD25" s="40">
        <f>IF(B25&gt;1100,1,0)</f>
        <v>1</v>
      </c>
      <c r="AE25" s="40">
        <f>IF(B25&gt;4200,1,0)</f>
        <v>0</v>
      </c>
      <c r="AF25" s="40">
        <f>IF(B25&lt;=20000,1,0)</f>
        <v>1</v>
      </c>
      <c r="AG25" s="45">
        <f t="shared" si="17"/>
        <v>0</v>
      </c>
      <c r="AH25" s="40">
        <f t="shared" si="16"/>
        <v>0</v>
      </c>
    </row>
    <row r="26" spans="1:34" s="40" customFormat="1" x14ac:dyDescent="0.25">
      <c r="B26" s="42">
        <f>B23</f>
        <v>2882.6399900000001</v>
      </c>
      <c r="F26" s="41"/>
      <c r="G26" s="41"/>
      <c r="H26" s="41"/>
      <c r="I26" s="41"/>
      <c r="J26" s="41"/>
      <c r="K26" s="41"/>
      <c r="L26" s="41"/>
      <c r="M26" s="41"/>
      <c r="AB26" s="40">
        <v>34</v>
      </c>
      <c r="AC26" s="44"/>
      <c r="AD26" s="40">
        <f>IF(B26&gt;1100,1,0)</f>
        <v>1</v>
      </c>
      <c r="AE26" s="40">
        <f>IF(B26&gt;4200,1,0)</f>
        <v>0</v>
      </c>
      <c r="AF26" s="40">
        <f>IF(B26&gt;20000,1,0)</f>
        <v>0</v>
      </c>
      <c r="AG26" s="45">
        <f t="shared" si="17"/>
        <v>0</v>
      </c>
      <c r="AH26" s="40">
        <f>AG26*AB26</f>
        <v>0</v>
      </c>
    </row>
    <row r="27" spans="1:34" s="40" customFormat="1" x14ac:dyDescent="0.25">
      <c r="B27" s="42"/>
      <c r="F27" s="41"/>
      <c r="G27" s="41"/>
      <c r="H27" s="41"/>
      <c r="I27" s="41"/>
      <c r="J27" s="41"/>
      <c r="K27" s="41"/>
      <c r="L27" s="41"/>
      <c r="M27" s="41"/>
      <c r="AC27" s="44">
        <f>AH27</f>
        <v>32.334639497042197</v>
      </c>
      <c r="AH27" s="44">
        <f>SUM(AH23:AH26)</f>
        <v>32.334639497042197</v>
      </c>
    </row>
    <row r="28" spans="1:34" x14ac:dyDescent="0.25">
      <c r="A28" t="s">
        <v>14</v>
      </c>
      <c r="B28" s="92">
        <f>MIN(-INDICIb!B22,-0.000001)</f>
        <v>-0.45</v>
      </c>
      <c r="C28">
        <v>10</v>
      </c>
      <c r="D28">
        <v>100</v>
      </c>
      <c r="E28">
        <v>40</v>
      </c>
      <c r="F28" s="4">
        <v>100.66674829412401</v>
      </c>
      <c r="G28" s="4">
        <v>167.29638510000001</v>
      </c>
      <c r="H28" s="4">
        <v>99.685633190000004</v>
      </c>
      <c r="I28" s="4">
        <v>26.348627369999999</v>
      </c>
      <c r="J28" s="4">
        <v>14.55774441</v>
      </c>
      <c r="K28" s="4">
        <v>13.30209305</v>
      </c>
      <c r="L28" s="4">
        <v>5.0148233099999997</v>
      </c>
      <c r="M28" s="4">
        <v>0.63463468000000001</v>
      </c>
      <c r="O28">
        <f t="shared" si="11"/>
        <v>100.66674829412401</v>
      </c>
      <c r="P28">
        <f t="shared" si="11"/>
        <v>-75.283373295000004</v>
      </c>
      <c r="Q28">
        <f t="shared" si="11"/>
        <v>20.186340720975004</v>
      </c>
      <c r="R28">
        <f t="shared" si="11"/>
        <v>-2.4010186690912501</v>
      </c>
      <c r="S28">
        <f t="shared" si="11"/>
        <v>0.59695850671256256</v>
      </c>
      <c r="T28">
        <f t="shared" si="11"/>
        <v>-0.24546102890920321</v>
      </c>
      <c r="U28">
        <f t="shared" si="11"/>
        <v>4.1641917417026726E-2</v>
      </c>
      <c r="V28">
        <f t="shared" si="11"/>
        <v>-2.3714359380975943E-3</v>
      </c>
      <c r="X28">
        <f t="shared" si="12"/>
        <v>43.55946501029004</v>
      </c>
      <c r="Y28">
        <f t="shared" si="13"/>
        <v>43.55946501029004</v>
      </c>
      <c r="Z28">
        <f t="shared" si="14"/>
        <v>43.55946501029004</v>
      </c>
      <c r="AB28">
        <f>IF(B28&lt;0,Z28*C28/D28*E28/100,0)</f>
        <v>1.7423786004116015</v>
      </c>
      <c r="AC28">
        <f>AB28</f>
        <v>1.7423786004116015</v>
      </c>
    </row>
    <row r="29" spans="1:34" x14ac:dyDescent="0.25">
      <c r="A29" t="s">
        <v>15</v>
      </c>
      <c r="B29" s="92">
        <f>MAX(INDICIb!B23,0.0000001)</f>
        <v>0.92</v>
      </c>
      <c r="C29" s="1">
        <v>5</v>
      </c>
      <c r="D29" s="1">
        <v>100</v>
      </c>
      <c r="E29" s="1">
        <v>40</v>
      </c>
      <c r="F29" s="39">
        <v>-1606.5671826903899</v>
      </c>
      <c r="G29" s="39">
        <v>14469.35592708</v>
      </c>
      <c r="H29" s="39">
        <v>-50235.280277459999</v>
      </c>
      <c r="I29" s="39">
        <v>84419.299823730005</v>
      </c>
      <c r="J29" s="39">
        <v>-68983.179666280004</v>
      </c>
      <c r="K29" s="39">
        <v>22041.249027710001</v>
      </c>
      <c r="L29" s="46"/>
      <c r="M29" s="46"/>
      <c r="N29" s="1"/>
      <c r="O29" s="1">
        <f t="shared" si="11"/>
        <v>-1606.5671826903899</v>
      </c>
      <c r="P29" s="1">
        <f t="shared" si="11"/>
        <v>13311.807452913601</v>
      </c>
      <c r="Q29" s="1">
        <f t="shared" si="11"/>
        <v>-42519.141226842148</v>
      </c>
      <c r="R29" s="1">
        <f t="shared" si="11"/>
        <v>65736.295741140668</v>
      </c>
      <c r="S29" s="1">
        <f t="shared" si="11"/>
        <v>-49419.064271338153</v>
      </c>
      <c r="T29" s="1">
        <f t="shared" si="11"/>
        <v>14526.97998241363</v>
      </c>
      <c r="U29" s="1">
        <f t="shared" si="11"/>
        <v>0</v>
      </c>
      <c r="V29" s="1">
        <f t="shared" si="11"/>
        <v>0</v>
      </c>
      <c r="W29" s="1"/>
      <c r="X29" s="1">
        <f t="shared" si="12"/>
        <v>30.31049559721032</v>
      </c>
      <c r="Y29" s="1">
        <f t="shared" si="13"/>
        <v>30.31049559721032</v>
      </c>
      <c r="Z29" s="1">
        <f t="shared" si="14"/>
        <v>30.31049559721032</v>
      </c>
      <c r="AA29" s="1"/>
      <c r="AB29" s="1">
        <f t="shared" ref="AB29" si="18">Z29*C29/D29*E29/100</f>
        <v>0.60620991194420637</v>
      </c>
      <c r="AC29" s="1">
        <f>AB29</f>
        <v>0.60620991194420637</v>
      </c>
    </row>
    <row r="30" spans="1:34" x14ac:dyDescent="0.25">
      <c r="A30" t="s">
        <v>27</v>
      </c>
      <c r="F30" s="4"/>
      <c r="G30" s="4"/>
      <c r="H30" s="4"/>
      <c r="I30" s="4"/>
      <c r="J30" s="4"/>
      <c r="K30" s="4"/>
      <c r="L30" s="4"/>
      <c r="M30" s="4"/>
    </row>
    <row r="31" spans="1:34" x14ac:dyDescent="0.25">
      <c r="A31" t="s">
        <v>16</v>
      </c>
      <c r="B31" s="38">
        <f>INDICIb!B25</f>
        <v>0.88</v>
      </c>
      <c r="C31">
        <v>50</v>
      </c>
      <c r="D31">
        <v>100</v>
      </c>
      <c r="E31">
        <v>5</v>
      </c>
      <c r="F31" s="4">
        <v>0.77113465975629203</v>
      </c>
      <c r="G31" s="4">
        <v>-40.474172660000001</v>
      </c>
      <c r="H31" s="4">
        <v>601.74494023</v>
      </c>
      <c r="I31" s="4">
        <v>-1378.5779160899999</v>
      </c>
      <c r="J31" s="4">
        <v>1467.9627599</v>
      </c>
      <c r="K31" s="4">
        <v>-548.63510412000005</v>
      </c>
      <c r="L31" s="4"/>
      <c r="M31" s="4"/>
      <c r="O31">
        <f t="shared" ref="O31:V32" si="19">$B31^F$1*F31</f>
        <v>0.77113465975629203</v>
      </c>
      <c r="P31">
        <f t="shared" si="19"/>
        <v>-35.617271940800002</v>
      </c>
      <c r="Q31">
        <f t="shared" si="19"/>
        <v>465.99128171411201</v>
      </c>
      <c r="R31">
        <f t="shared" si="19"/>
        <v>-939.46224963368434</v>
      </c>
      <c r="S31">
        <f t="shared" si="19"/>
        <v>880.33045576482414</v>
      </c>
      <c r="T31">
        <f t="shared" si="19"/>
        <v>-289.53225512101517</v>
      </c>
      <c r="U31">
        <f t="shared" si="19"/>
        <v>0</v>
      </c>
      <c r="V31">
        <f t="shared" si="19"/>
        <v>0</v>
      </c>
      <c r="X31">
        <f t="shared" ref="X31:X32" si="20">SUM(O31:V31)</f>
        <v>82.481095443192942</v>
      </c>
      <c r="Y31">
        <f t="shared" si="13"/>
        <v>82.481095443192942</v>
      </c>
      <c r="Z31">
        <f t="shared" si="14"/>
        <v>82.481095443192942</v>
      </c>
      <c r="AB31">
        <f t="shared" ref="AB31:AB32" si="21">IF(B31&gt;0,Z31*C31/D31*E31/100,0)</f>
        <v>2.0620273860798237</v>
      </c>
      <c r="AC31">
        <f>AB31</f>
        <v>2.0620273860798237</v>
      </c>
    </row>
    <row r="32" spans="1:34" x14ac:dyDescent="0.25">
      <c r="A32" t="s">
        <v>17</v>
      </c>
      <c r="B32" s="38">
        <f>INDICIb!B26</f>
        <v>0.86956521739130432</v>
      </c>
      <c r="C32">
        <v>50</v>
      </c>
      <c r="D32">
        <v>100</v>
      </c>
      <c r="E32">
        <v>5</v>
      </c>
      <c r="F32" s="4">
        <v>-2.72089739817415</v>
      </c>
      <c r="G32" s="4">
        <v>81.976054899999994</v>
      </c>
      <c r="H32" s="4">
        <v>-564.46884542999999</v>
      </c>
      <c r="I32" s="4">
        <v>2932.2720489100002</v>
      </c>
      <c r="J32" s="4">
        <v>-6221.9292848100004</v>
      </c>
      <c r="K32" s="4">
        <v>6011.0819042599996</v>
      </c>
      <c r="L32" s="4">
        <v>-2135.2287570899998</v>
      </c>
      <c r="M32" s="4"/>
      <c r="O32">
        <f t="shared" si="19"/>
        <v>-2.72089739817415</v>
      </c>
      <c r="P32">
        <f t="shared" si="19"/>
        <v>71.283525999999995</v>
      </c>
      <c r="Q32">
        <f t="shared" si="19"/>
        <v>-426.81954285822303</v>
      </c>
      <c r="R32">
        <f t="shared" si="19"/>
        <v>1928.01647006493</v>
      </c>
      <c r="S32">
        <f t="shared" si="19"/>
        <v>-3557.4082624404577</v>
      </c>
      <c r="T32">
        <f t="shared" si="19"/>
        <v>2988.570076770613</v>
      </c>
      <c r="U32">
        <f t="shared" si="19"/>
        <v>-923.11831527393997</v>
      </c>
      <c r="V32">
        <f t="shared" si="19"/>
        <v>0</v>
      </c>
      <c r="X32">
        <f t="shared" si="20"/>
        <v>77.803054864747992</v>
      </c>
      <c r="Y32">
        <f t="shared" si="13"/>
        <v>77.803054864747992</v>
      </c>
      <c r="Z32">
        <f t="shared" si="14"/>
        <v>77.803054864747992</v>
      </c>
      <c r="AB32">
        <f t="shared" si="21"/>
        <v>1.9450763716186998</v>
      </c>
      <c r="AC32">
        <f>AB32</f>
        <v>1.9450763716186998</v>
      </c>
    </row>
    <row r="33" spans="1:29" x14ac:dyDescent="0.25">
      <c r="A33" t="s">
        <v>28</v>
      </c>
      <c r="F33" s="4"/>
      <c r="G33" s="4"/>
      <c r="H33" s="4"/>
      <c r="I33" s="4"/>
      <c r="J33" s="4"/>
      <c r="K33" s="4"/>
      <c r="L33" s="4"/>
      <c r="M33" s="4"/>
    </row>
    <row r="34" spans="1:29" x14ac:dyDescent="0.25">
      <c r="A34" t="s">
        <v>29</v>
      </c>
      <c r="B34" s="38">
        <f>INDICIb!B28</f>
        <v>85</v>
      </c>
      <c r="C34">
        <v>50</v>
      </c>
      <c r="D34">
        <v>100</v>
      </c>
      <c r="E34">
        <v>5</v>
      </c>
      <c r="F34" s="4">
        <v>0.44684422042772098</v>
      </c>
      <c r="G34" s="4">
        <v>-0.114459241</v>
      </c>
      <c r="H34" s="4">
        <v>3.9713702300000001E-2</v>
      </c>
      <c r="I34" s="4">
        <v>8.0143366200000001E-4</v>
      </c>
      <c r="J34" s="4">
        <v>-5.9454131000000002E-5</v>
      </c>
      <c r="K34" s="4">
        <v>1.13314169E-6</v>
      </c>
      <c r="L34" s="4">
        <v>-9.3674162000000008E-9</v>
      </c>
      <c r="M34" s="4">
        <v>2.89187979E-11</v>
      </c>
      <c r="O34">
        <f t="shared" ref="O34:V35" si="22">$B34^F$1*F34</f>
        <v>0.44684422042772098</v>
      </c>
      <c r="P34">
        <f t="shared" si="22"/>
        <v>-9.7290354850000007</v>
      </c>
      <c r="Q34">
        <f t="shared" si="22"/>
        <v>286.93149911749998</v>
      </c>
      <c r="R34">
        <f t="shared" si="22"/>
        <v>492.18044767575003</v>
      </c>
      <c r="S34">
        <f t="shared" si="22"/>
        <v>-3103.5427970318751</v>
      </c>
      <c r="T34">
        <f t="shared" si="22"/>
        <v>5027.8098766822814</v>
      </c>
      <c r="U34">
        <f t="shared" si="22"/>
        <v>-3532.9164824877785</v>
      </c>
      <c r="V34">
        <f t="shared" si="22"/>
        <v>927.07040273759264</v>
      </c>
      <c r="X34">
        <f t="shared" ref="X34:X35" si="23">SUM(O34:V34)</f>
        <v>88.25075542889806</v>
      </c>
      <c r="Y34">
        <f t="shared" si="13"/>
        <v>88.25075542889806</v>
      </c>
      <c r="Z34" s="4">
        <f>IF(B34&gt;99,100,MAX(0,Y34))</f>
        <v>88.25075542889806</v>
      </c>
      <c r="AB34">
        <f t="shared" ref="AB34:AB35" si="24">IF(B34&gt;0,Z34*C34/D34*E34/100,0)</f>
        <v>2.2062688857224515</v>
      </c>
      <c r="AC34">
        <f>AB34</f>
        <v>2.2062688857224515</v>
      </c>
    </row>
    <row r="35" spans="1:29" x14ac:dyDescent="0.25">
      <c r="A35" t="s">
        <v>30</v>
      </c>
      <c r="B35" s="38">
        <f>INDICIb!B29</f>
        <v>25</v>
      </c>
      <c r="C35">
        <v>50</v>
      </c>
      <c r="D35">
        <v>100</v>
      </c>
      <c r="E35">
        <v>5</v>
      </c>
      <c r="F35" s="4">
        <v>0.78235062399736599</v>
      </c>
      <c r="G35" s="4">
        <v>-0.43284336600000001</v>
      </c>
      <c r="H35" s="4">
        <v>0.13768878700000001</v>
      </c>
      <c r="I35" s="4">
        <v>-4.0469014400000003E-3</v>
      </c>
      <c r="J35" s="4">
        <v>6.0394214500000002E-5</v>
      </c>
      <c r="K35" s="4">
        <v>-4.6699545E-7</v>
      </c>
      <c r="L35" s="4">
        <v>1.44425727E-9</v>
      </c>
      <c r="M35" s="4"/>
      <c r="O35">
        <f t="shared" si="22"/>
        <v>0.78235062399736599</v>
      </c>
      <c r="P35">
        <f t="shared" si="22"/>
        <v>-10.821084150000001</v>
      </c>
      <c r="Q35">
        <f t="shared" si="22"/>
        <v>86.055491875000001</v>
      </c>
      <c r="R35">
        <f t="shared" si="22"/>
        <v>-63.232835000000001</v>
      </c>
      <c r="S35">
        <f t="shared" si="22"/>
        <v>23.591490039062499</v>
      </c>
      <c r="T35">
        <f t="shared" si="22"/>
        <v>-4.5605024414062498</v>
      </c>
      <c r="U35">
        <f t="shared" si="22"/>
        <v>0.35260187255859377</v>
      </c>
      <c r="V35">
        <f t="shared" si="22"/>
        <v>0</v>
      </c>
      <c r="X35">
        <f t="shared" si="23"/>
        <v>32.167512819212213</v>
      </c>
      <c r="Y35">
        <f t="shared" si="13"/>
        <v>32.167512819212213</v>
      </c>
      <c r="Z35">
        <f t="shared" si="14"/>
        <v>32.167512819212213</v>
      </c>
      <c r="AB35">
        <f t="shared" si="24"/>
        <v>0.80418782048030535</v>
      </c>
      <c r="AC35">
        <f>AB35</f>
        <v>0.80418782048030535</v>
      </c>
    </row>
    <row r="36" spans="1:29" x14ac:dyDescent="0.25">
      <c r="A36" t="s">
        <v>31</v>
      </c>
      <c r="F36" s="4"/>
      <c r="G36" s="4"/>
      <c r="H36" s="4"/>
      <c r="I36" s="4"/>
      <c r="J36" s="4"/>
      <c r="K36" s="4"/>
      <c r="L36" s="4"/>
      <c r="M36" s="4"/>
    </row>
    <row r="37" spans="1:29" x14ac:dyDescent="0.25">
      <c r="A37" t="s">
        <v>18</v>
      </c>
      <c r="B37" s="38">
        <f>INDICIb!B31</f>
        <v>0.8666666666666667</v>
      </c>
      <c r="C37">
        <v>30</v>
      </c>
      <c r="D37">
        <v>100</v>
      </c>
      <c r="E37">
        <v>10</v>
      </c>
      <c r="F37" s="4">
        <v>0.291085684767807</v>
      </c>
      <c r="G37" s="4">
        <v>-10.4628578</v>
      </c>
      <c r="H37" s="4">
        <v>481.16146800000001</v>
      </c>
      <c r="I37" s="4">
        <v>-2857.70471</v>
      </c>
      <c r="J37" s="4">
        <v>8369.3969099999995</v>
      </c>
      <c r="K37" s="4">
        <v>-12754.915499999999</v>
      </c>
      <c r="L37" s="4">
        <v>9865.8449500000006</v>
      </c>
      <c r="M37" s="4">
        <v>-2988.0753399999999</v>
      </c>
      <c r="O37">
        <f t="shared" ref="O37:V39" si="25">$B37^F$1*F37</f>
        <v>0.291085684767807</v>
      </c>
      <c r="P37">
        <f t="shared" si="25"/>
        <v>-9.0678100933333337</v>
      </c>
      <c r="Q37">
        <f t="shared" si="25"/>
        <v>361.40572485333337</v>
      </c>
      <c r="R37">
        <f t="shared" si="25"/>
        <v>-1860.259925294815</v>
      </c>
      <c r="S37">
        <f t="shared" si="25"/>
        <v>4721.7450893137775</v>
      </c>
      <c r="T37">
        <f t="shared" si="25"/>
        <v>-6236.4587203180254</v>
      </c>
      <c r="U37">
        <f t="shared" si="25"/>
        <v>4180.6792162207576</v>
      </c>
      <c r="V37">
        <f t="shared" si="25"/>
        <v>-1097.3778656820607</v>
      </c>
      <c r="X37">
        <f t="shared" ref="X37:X38" si="26">SUM(O37:V37)</f>
        <v>60.95679468440153</v>
      </c>
      <c r="Y37">
        <f t="shared" si="13"/>
        <v>60.95679468440153</v>
      </c>
      <c r="Z37">
        <f t="shared" si="14"/>
        <v>60.95679468440153</v>
      </c>
      <c r="AB37">
        <f t="shared" ref="AB37:AB39" si="27">IF(B37&gt;0,Z37*C37/D37*E37/100,0)</f>
        <v>1.8287038405320459</v>
      </c>
      <c r="AC37">
        <f>AB37</f>
        <v>1.8287038405320459</v>
      </c>
    </row>
    <row r="38" spans="1:29" x14ac:dyDescent="0.25">
      <c r="A38" t="s">
        <v>19</v>
      </c>
      <c r="B38" s="38">
        <f>INDICIb!B32</f>
        <v>6</v>
      </c>
      <c r="C38">
        <v>30</v>
      </c>
      <c r="D38">
        <v>100</v>
      </c>
      <c r="E38">
        <v>10</v>
      </c>
      <c r="F38" s="4">
        <v>5.1991089121687803</v>
      </c>
      <c r="G38" s="4">
        <v>34.709042400000001</v>
      </c>
      <c r="H38" s="4">
        <v>-6.47779433</v>
      </c>
      <c r="I38" s="4">
        <v>0.682720153</v>
      </c>
      <c r="J38" s="4">
        <v>-4.1870421499999998E-2</v>
      </c>
      <c r="K38" s="4">
        <v>1.4750916E-3</v>
      </c>
      <c r="L38" s="4">
        <v>-2.76088326E-5</v>
      </c>
      <c r="M38" s="4">
        <v>2.12380519E-7</v>
      </c>
      <c r="O38">
        <f t="shared" si="25"/>
        <v>5.1991089121687803</v>
      </c>
      <c r="P38">
        <f t="shared" si="25"/>
        <v>208.25425440000001</v>
      </c>
      <c r="Q38">
        <f t="shared" si="25"/>
        <v>-233.20059588000001</v>
      </c>
      <c r="R38">
        <f t="shared" si="25"/>
        <v>147.46755304800001</v>
      </c>
      <c r="S38">
        <f t="shared" si="25"/>
        <v>-54.264066264</v>
      </c>
      <c r="T38">
        <f t="shared" si="25"/>
        <v>11.4703122816</v>
      </c>
      <c r="U38">
        <f t="shared" si="25"/>
        <v>-1.2881176937856</v>
      </c>
      <c r="V38">
        <f t="shared" si="25"/>
        <v>5.9452952966784003E-2</v>
      </c>
      <c r="X38">
        <f t="shared" si="26"/>
        <v>83.697901756949975</v>
      </c>
      <c r="Y38">
        <f t="shared" si="13"/>
        <v>83.697901756949975</v>
      </c>
      <c r="Z38">
        <f t="shared" si="14"/>
        <v>83.697901756949975</v>
      </c>
      <c r="AB38">
        <f t="shared" si="27"/>
        <v>2.5109370527084995</v>
      </c>
      <c r="AC38">
        <f>AB38</f>
        <v>2.5109370527084995</v>
      </c>
    </row>
    <row r="39" spans="1:29" x14ac:dyDescent="0.25">
      <c r="A39" t="s">
        <v>20</v>
      </c>
      <c r="B39" s="38">
        <f>INDICIb!B33</f>
        <v>7</v>
      </c>
      <c r="C39">
        <v>40</v>
      </c>
      <c r="D39">
        <v>100</v>
      </c>
      <c r="E39">
        <v>10</v>
      </c>
      <c r="F39" s="4">
        <v>35.068413579485302</v>
      </c>
      <c r="G39" s="4">
        <v>30.4323142</v>
      </c>
      <c r="H39" s="4">
        <v>-7.4892550599999996</v>
      </c>
      <c r="I39" s="4">
        <v>1.0691231999999999</v>
      </c>
      <c r="J39" s="4">
        <v>-9.0095081199999996E-2</v>
      </c>
      <c r="K39" s="4">
        <v>4.3923993099999996E-3</v>
      </c>
      <c r="L39" s="4">
        <v>-1.14138916E-4</v>
      </c>
      <c r="M39" s="4">
        <v>1.2205643000000001E-6</v>
      </c>
      <c r="O39">
        <f>$B39^F$1*F39</f>
        <v>35.068413579485302</v>
      </c>
      <c r="P39">
        <f t="shared" si="25"/>
        <v>213.0261994</v>
      </c>
      <c r="Q39">
        <f t="shared" si="25"/>
        <v>-366.97349793999996</v>
      </c>
      <c r="R39">
        <f t="shared" si="25"/>
        <v>366.7092576</v>
      </c>
      <c r="S39">
        <f t="shared" si="25"/>
        <v>-216.31828996119998</v>
      </c>
      <c r="T39">
        <f t="shared" si="25"/>
        <v>73.82305520317</v>
      </c>
      <c r="U39">
        <f t="shared" si="25"/>
        <v>-13.428329328483999</v>
      </c>
      <c r="V39">
        <f t="shared" si="25"/>
        <v>1.0051871853149001</v>
      </c>
      <c r="X39">
        <f>SUM(O39:V39)</f>
        <v>92.911995738286265</v>
      </c>
      <c r="Y39">
        <f>MIN(X39,100)</f>
        <v>92.911995738286265</v>
      </c>
      <c r="Z39">
        <f>MAX(0,Y39)</f>
        <v>92.911995738286265</v>
      </c>
      <c r="AB39">
        <f t="shared" si="27"/>
        <v>3.7164798295314507</v>
      </c>
      <c r="AC39">
        <f>AB39</f>
        <v>3.7164798295314507</v>
      </c>
    </row>
    <row r="41" spans="1:29" x14ac:dyDescent="0.25">
      <c r="F41" s="47"/>
    </row>
    <row r="42" spans="1:29" x14ac:dyDescent="0.25">
      <c r="F42" s="47"/>
    </row>
    <row r="43" spans="1:29" x14ac:dyDescent="0.25">
      <c r="D43" s="47"/>
      <c r="F43" s="48"/>
      <c r="G43" s="49"/>
      <c r="H43" s="49"/>
    </row>
    <row r="44" spans="1:29" x14ac:dyDescent="0.25">
      <c r="D44" s="47"/>
      <c r="F44" s="48"/>
      <c r="G44" s="49"/>
      <c r="H44" s="48"/>
    </row>
    <row r="45" spans="1:29" x14ac:dyDescent="0.25">
      <c r="D45" s="47"/>
      <c r="E45" s="47"/>
      <c r="F45" s="48"/>
      <c r="G45" s="49"/>
      <c r="H45" s="48"/>
      <c r="L45" s="47"/>
      <c r="S45" s="47"/>
      <c r="T45" s="47"/>
    </row>
    <row r="46" spans="1:29" x14ac:dyDescent="0.25">
      <c r="D46" s="47"/>
      <c r="E46" s="47"/>
      <c r="F46" s="48"/>
      <c r="G46" s="49"/>
      <c r="H46" s="48"/>
      <c r="L46" s="47"/>
      <c r="S46" s="47"/>
      <c r="T46" s="47"/>
    </row>
    <row r="47" spans="1:29" x14ac:dyDescent="0.25">
      <c r="D47" s="47"/>
      <c r="E47" s="47"/>
      <c r="F47" s="48"/>
      <c r="G47" s="49"/>
      <c r="H47" s="48"/>
      <c r="L47" s="47"/>
      <c r="S47" s="47"/>
      <c r="T47" s="47"/>
    </row>
    <row r="48" spans="1:29" x14ac:dyDescent="0.25">
      <c r="D48" s="47"/>
      <c r="E48" s="47"/>
      <c r="F48" s="48"/>
      <c r="G48" s="49"/>
      <c r="H48" s="48"/>
      <c r="L48" s="47"/>
      <c r="S48" s="47"/>
      <c r="T48" s="47"/>
    </row>
    <row r="49" spans="4:20" x14ac:dyDescent="0.25">
      <c r="D49" s="47"/>
      <c r="E49" s="47"/>
      <c r="F49" s="48"/>
      <c r="G49" s="49"/>
      <c r="H49" s="48"/>
      <c r="L49" s="47"/>
      <c r="S49" s="47"/>
      <c r="T49" s="47"/>
    </row>
    <row r="50" spans="4:20" x14ac:dyDescent="0.25">
      <c r="D50" s="47"/>
      <c r="E50" s="47"/>
      <c r="F50" s="49"/>
      <c r="G50" s="49"/>
      <c r="H50" s="49"/>
      <c r="L50" s="47"/>
      <c r="S50" s="47"/>
      <c r="T50" s="47"/>
    </row>
    <row r="51" spans="4:20" x14ac:dyDescent="0.25">
      <c r="D51" s="47"/>
      <c r="E51" s="47"/>
      <c r="F51" s="49"/>
      <c r="G51" s="49"/>
      <c r="H51" s="49"/>
      <c r="L51" s="47"/>
      <c r="S51" s="47"/>
      <c r="T51" s="47"/>
    </row>
    <row r="52" spans="4:20" x14ac:dyDescent="0.25">
      <c r="F52" s="49"/>
      <c r="G52" s="49"/>
      <c r="H52" s="49"/>
    </row>
  </sheetData>
  <sheetProtection algorithmName="SHA-512" hashValue="B2/Z1yU0XL4+RPsUuPhLoLnZmp9rq/uwNwbS2BGdgxhbfGMxROYDqLLDLOEsnnC7KBJV6QBzcICVKUgNVBDlqQ==" saltValue="CsC3qRZSjs98SW8QPkQL6g==" spinCount="100000"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50"/>
  <sheetViews>
    <sheetView zoomScale="70" zoomScaleNormal="70" workbookViewId="0">
      <selection activeCell="A40" sqref="A40:J44"/>
    </sheetView>
  </sheetViews>
  <sheetFormatPr defaultRowHeight="15" x14ac:dyDescent="0.25"/>
  <cols>
    <col min="1" max="1" width="107" style="27" customWidth="1"/>
    <col min="2" max="9" width="14" bestFit="1" customWidth="1"/>
    <col min="10" max="10" width="17" style="6" bestFit="1" customWidth="1"/>
  </cols>
  <sheetData>
    <row r="1" spans="1:10" ht="15" customHeight="1" x14ac:dyDescent="0.25">
      <c r="B1" s="50" t="s">
        <v>84</v>
      </c>
      <c r="C1" s="51" t="s">
        <v>85</v>
      </c>
      <c r="D1" s="51" t="s">
        <v>86</v>
      </c>
      <c r="E1" s="51" t="s">
        <v>87</v>
      </c>
      <c r="F1" s="51" t="s">
        <v>88</v>
      </c>
      <c r="G1" s="51" t="s">
        <v>89</v>
      </c>
      <c r="H1" s="51" t="s">
        <v>90</v>
      </c>
      <c r="I1" s="52" t="s">
        <v>91</v>
      </c>
      <c r="J1" s="53" t="s">
        <v>92</v>
      </c>
    </row>
    <row r="2" spans="1:10" x14ac:dyDescent="0.25">
      <c r="A2" s="54" t="s">
        <v>94</v>
      </c>
      <c r="B2" s="50"/>
      <c r="C2" s="51"/>
      <c r="D2" s="51"/>
      <c r="E2" s="51"/>
      <c r="F2" s="51"/>
      <c r="G2" s="51"/>
      <c r="H2" s="51"/>
      <c r="I2" s="51"/>
      <c r="J2" s="55"/>
    </row>
    <row r="3" spans="1:10" x14ac:dyDescent="0.25">
      <c r="A3" s="56" t="s">
        <v>0</v>
      </c>
      <c r="B3" s="57">
        <v>-1.84018890367546</v>
      </c>
      <c r="C3" s="58">
        <v>614.92820537</v>
      </c>
      <c r="D3" s="58">
        <v>-3386.4283535300001</v>
      </c>
      <c r="E3" s="58">
        <v>14244.294636189999</v>
      </c>
      <c r="F3" s="58">
        <v>-36083.922054449999</v>
      </c>
      <c r="G3" s="58">
        <v>50552.478191210001</v>
      </c>
      <c r="H3" s="58">
        <v>-36038.993495260002</v>
      </c>
      <c r="I3" s="58">
        <v>10202.069037720001</v>
      </c>
      <c r="J3" s="59"/>
    </row>
    <row r="4" spans="1:10" x14ac:dyDescent="0.25">
      <c r="A4" s="56" t="s">
        <v>1</v>
      </c>
      <c r="B4" s="57">
        <v>24.5164189900288</v>
      </c>
      <c r="C4" s="60">
        <v>23.025509599999999</v>
      </c>
      <c r="D4" s="60">
        <v>-3.9188029599999998</v>
      </c>
      <c r="E4" s="60">
        <v>0.40574212399999998</v>
      </c>
      <c r="F4" s="60">
        <v>-2.5589980700000001E-2</v>
      </c>
      <c r="G4" s="60">
        <v>9.5060450300000002E-4</v>
      </c>
      <c r="H4" s="60">
        <v>-1.8997652499999999E-5</v>
      </c>
      <c r="I4" s="60">
        <v>1.56925377E-7</v>
      </c>
      <c r="J4" s="59"/>
    </row>
    <row r="5" spans="1:10" x14ac:dyDescent="0.25">
      <c r="A5" s="56" t="s">
        <v>2</v>
      </c>
      <c r="B5" s="61">
        <v>19.756221764002198</v>
      </c>
      <c r="C5" s="60">
        <v>10.5721545</v>
      </c>
      <c r="D5" s="60">
        <v>-0.79405355499999997</v>
      </c>
      <c r="E5" s="60">
        <v>3.3353790699999997E-2</v>
      </c>
      <c r="F5" s="60">
        <v>-7.9439254599999998E-4</v>
      </c>
      <c r="G5" s="60">
        <v>1.06355982E-5</v>
      </c>
      <c r="H5" s="60">
        <v>-7.4464971200000003E-8</v>
      </c>
      <c r="I5" s="60">
        <v>2.1189205900000001E-10</v>
      </c>
      <c r="J5" s="59"/>
    </row>
    <row r="6" spans="1:10" x14ac:dyDescent="0.25">
      <c r="A6" s="56" t="s">
        <v>3</v>
      </c>
      <c r="B6" s="57">
        <v>5.1119071743990201</v>
      </c>
      <c r="C6" s="60">
        <v>10.7509812</v>
      </c>
      <c r="D6" s="60">
        <v>-0.70400081599999997</v>
      </c>
      <c r="E6" s="60">
        <v>2.5917759299999999E-2</v>
      </c>
      <c r="F6" s="60">
        <v>-5.4563848999999998E-4</v>
      </c>
      <c r="G6" s="60">
        <v>6.5136416499999999E-6</v>
      </c>
      <c r="H6" s="60">
        <v>-4.0958264999999997E-8</v>
      </c>
      <c r="I6" s="60">
        <v>1.0524692200000001E-10</v>
      </c>
      <c r="J6" s="59"/>
    </row>
    <row r="7" spans="1:10" x14ac:dyDescent="0.25">
      <c r="A7" s="56" t="s">
        <v>4</v>
      </c>
      <c r="B7" s="57">
        <v>0.42478448695403798</v>
      </c>
      <c r="C7" s="58">
        <v>-15.812614719999999</v>
      </c>
      <c r="D7" s="58">
        <v>310.39473544999998</v>
      </c>
      <c r="E7" s="58">
        <v>-533.68182508999996</v>
      </c>
      <c r="F7" s="58">
        <v>1306.7248644399999</v>
      </c>
      <c r="G7" s="58">
        <v>-1366.2860811999999</v>
      </c>
      <c r="H7" s="58">
        <v>99.639751480000001</v>
      </c>
      <c r="I7" s="58">
        <v>297.03436131000001</v>
      </c>
      <c r="J7" s="34" t="s">
        <v>35</v>
      </c>
    </row>
    <row r="8" spans="1:10" x14ac:dyDescent="0.25">
      <c r="A8" s="56" t="s">
        <v>5</v>
      </c>
      <c r="B8" s="57">
        <v>-10.3512424133505</v>
      </c>
      <c r="C8" s="58">
        <v>756.39241809999999</v>
      </c>
      <c r="D8" s="58">
        <v>-2067.0547101799998</v>
      </c>
      <c r="E8" s="58">
        <v>2547.7004714999998</v>
      </c>
      <c r="F8" s="58">
        <v>-1296.3643753399999</v>
      </c>
      <c r="G8" s="58">
        <v>169.21058617</v>
      </c>
      <c r="H8" s="58"/>
      <c r="I8" s="58"/>
      <c r="J8" s="34" t="s">
        <v>35</v>
      </c>
    </row>
    <row r="9" spans="1:10" x14ac:dyDescent="0.25">
      <c r="A9" s="56" t="s">
        <v>6</v>
      </c>
      <c r="B9" s="57">
        <v>-0.15195453636360401</v>
      </c>
      <c r="C9" s="58">
        <v>49.4518512</v>
      </c>
      <c r="D9" s="58">
        <v>14.4772655</v>
      </c>
      <c r="E9" s="58">
        <v>2035.9807599999999</v>
      </c>
      <c r="F9" s="58">
        <v>-8673.3081700000002</v>
      </c>
      <c r="G9" s="58">
        <v>15676.275799999999</v>
      </c>
      <c r="H9" s="58">
        <v>-13524.6528</v>
      </c>
      <c r="I9" s="58">
        <v>4521.7960400000002</v>
      </c>
      <c r="J9" s="34" t="s">
        <v>35</v>
      </c>
    </row>
    <row r="10" spans="1:10" x14ac:dyDescent="0.25">
      <c r="A10" s="56" t="s">
        <v>7</v>
      </c>
      <c r="B10" s="57">
        <v>-1.0391196952347999E-2</v>
      </c>
      <c r="C10" s="58">
        <v>14.00388871</v>
      </c>
      <c r="D10" s="58">
        <v>-208.58255577</v>
      </c>
      <c r="E10" s="58">
        <v>1944.7226809700001</v>
      </c>
      <c r="F10" s="58">
        <v>-6596.5107526700003</v>
      </c>
      <c r="G10" s="58">
        <v>11302.133084540001</v>
      </c>
      <c r="H10" s="58">
        <v>-9004.4059625200007</v>
      </c>
      <c r="I10" s="58">
        <v>2649.8628876299999</v>
      </c>
      <c r="J10" s="34"/>
    </row>
    <row r="11" spans="1:10" x14ac:dyDescent="0.25">
      <c r="A11" s="56" t="s">
        <v>8</v>
      </c>
      <c r="B11" s="57">
        <v>-7.4533453790642801</v>
      </c>
      <c r="C11" s="58">
        <v>1505.78792922</v>
      </c>
      <c r="D11" s="58">
        <v>-10265.42570227</v>
      </c>
      <c r="E11" s="58">
        <v>36310.581295030002</v>
      </c>
      <c r="F11" s="58">
        <v>-62787.594330120002</v>
      </c>
      <c r="G11" s="58">
        <v>41769.37478143</v>
      </c>
      <c r="H11" s="58"/>
      <c r="I11" s="58"/>
      <c r="J11" s="34"/>
    </row>
    <row r="12" spans="1:10" x14ac:dyDescent="0.25">
      <c r="A12" s="56" t="s">
        <v>9</v>
      </c>
      <c r="B12" s="57">
        <v>-5.7751519100170103</v>
      </c>
      <c r="C12" s="58">
        <v>834.58423540000001</v>
      </c>
      <c r="D12" s="58">
        <v>-2051.32044331</v>
      </c>
      <c r="E12" s="58">
        <v>-3672.4573107900001</v>
      </c>
      <c r="F12" s="58">
        <v>29428.370122529999</v>
      </c>
      <c r="G12" s="58">
        <v>-59827.439618900004</v>
      </c>
      <c r="H12" s="58">
        <v>52647.218590060002</v>
      </c>
      <c r="I12" s="58">
        <v>-17253.231352489998</v>
      </c>
      <c r="J12" s="34" t="s">
        <v>35</v>
      </c>
    </row>
    <row r="13" spans="1:10" x14ac:dyDescent="0.25">
      <c r="A13" s="56" t="s">
        <v>10</v>
      </c>
      <c r="B13" s="57">
        <v>-0.95250302492097205</v>
      </c>
      <c r="C13" s="58">
        <v>126.4984698</v>
      </c>
      <c r="D13" s="58">
        <v>1159.1470811199999</v>
      </c>
      <c r="E13" s="58">
        <v>-3892.5611201500001</v>
      </c>
      <c r="F13" s="58">
        <v>4461.48124362</v>
      </c>
      <c r="G13" s="58">
        <v>-1756.33249112</v>
      </c>
      <c r="H13" s="58"/>
      <c r="I13" s="58"/>
      <c r="J13" s="34" t="s">
        <v>35</v>
      </c>
    </row>
    <row r="14" spans="1:10" x14ac:dyDescent="0.25">
      <c r="A14" s="56" t="s">
        <v>11</v>
      </c>
      <c r="B14" s="57">
        <v>-2.68138650048268</v>
      </c>
      <c r="C14" s="58">
        <v>713.19444534000002</v>
      </c>
      <c r="D14" s="58">
        <v>-2904.7328930499998</v>
      </c>
      <c r="E14" s="58">
        <v>7735.0538082399999</v>
      </c>
      <c r="F14" s="58">
        <v>-12223.81313088</v>
      </c>
      <c r="G14" s="58">
        <v>10080.11069748</v>
      </c>
      <c r="H14" s="58">
        <v>-3297.13046919</v>
      </c>
      <c r="I14" s="58"/>
      <c r="J14" s="59"/>
    </row>
    <row r="15" spans="1:10" x14ac:dyDescent="0.25">
      <c r="A15" s="200" t="s">
        <v>95</v>
      </c>
      <c r="B15" s="62">
        <v>-2.56570131238735</v>
      </c>
      <c r="C15" s="63">
        <v>1.8994089700000001</v>
      </c>
      <c r="D15" s="63">
        <v>-2.1644863199999999E-2</v>
      </c>
      <c r="E15" s="63">
        <v>1.43505404E-4</v>
      </c>
      <c r="F15" s="63">
        <v>-5.2681171900000003E-7</v>
      </c>
      <c r="G15" s="63">
        <v>9.8804034199999999E-10</v>
      </c>
      <c r="H15" s="63">
        <v>-7.3691053299999999E-13</v>
      </c>
      <c r="I15" s="63"/>
      <c r="J15" s="64" t="s">
        <v>96</v>
      </c>
    </row>
    <row r="16" spans="1:10" x14ac:dyDescent="0.25">
      <c r="A16" s="201"/>
      <c r="B16" s="65">
        <v>87.209259370572795</v>
      </c>
      <c r="C16" s="66">
        <v>2.0298215800000002E-2</v>
      </c>
      <c r="D16" s="66">
        <v>-1.0834392000000001E-5</v>
      </c>
      <c r="E16" s="66">
        <v>1.6301797799999999E-9</v>
      </c>
      <c r="F16" s="66">
        <v>1.3905924499999999E-13</v>
      </c>
      <c r="G16" s="66"/>
      <c r="H16" s="66"/>
      <c r="I16" s="66"/>
      <c r="J16" s="67" t="s">
        <v>97</v>
      </c>
    </row>
    <row r="17" spans="1:10" x14ac:dyDescent="0.25">
      <c r="A17" s="54" t="s">
        <v>98</v>
      </c>
      <c r="B17" s="68"/>
      <c r="C17" s="69"/>
      <c r="D17" s="69"/>
      <c r="E17" s="69"/>
      <c r="F17" s="69"/>
      <c r="G17" s="69"/>
      <c r="H17" s="69"/>
      <c r="I17" s="70"/>
      <c r="J17" s="53"/>
    </row>
    <row r="18" spans="1:10" x14ac:dyDescent="0.25">
      <c r="A18" s="56" t="s">
        <v>23</v>
      </c>
      <c r="B18" s="57">
        <v>-0.11068843248408899</v>
      </c>
      <c r="C18" s="58">
        <v>67.192853639999996</v>
      </c>
      <c r="D18" s="58">
        <v>166.05871191</v>
      </c>
      <c r="E18" s="58">
        <v>597.05189197000004</v>
      </c>
      <c r="F18" s="58">
        <v>-3327.8575949999999</v>
      </c>
      <c r="G18" s="58">
        <v>5537.2079525099998</v>
      </c>
      <c r="H18" s="58">
        <v>-4040.27987807</v>
      </c>
      <c r="I18" s="71">
        <v>1100.7692582499999</v>
      </c>
      <c r="J18" s="72"/>
    </row>
    <row r="19" spans="1:10" ht="30" x14ac:dyDescent="0.25">
      <c r="A19" s="56" t="s">
        <v>24</v>
      </c>
      <c r="B19" s="57">
        <v>-0.73363804414400102</v>
      </c>
      <c r="C19" s="58">
        <v>340.44708388999999</v>
      </c>
      <c r="D19" s="58">
        <v>-1147.2220040100001</v>
      </c>
      <c r="E19" s="58">
        <v>3880.3434563999999</v>
      </c>
      <c r="F19" s="58">
        <v>-8343.9690140000002</v>
      </c>
      <c r="G19" s="58">
        <v>10382.46695023</v>
      </c>
      <c r="H19" s="58">
        <v>-6895.25971759</v>
      </c>
      <c r="I19" s="71">
        <v>1884.38312352</v>
      </c>
      <c r="J19" s="72"/>
    </row>
    <row r="20" spans="1:10" x14ac:dyDescent="0.25">
      <c r="A20" s="73" t="s">
        <v>25</v>
      </c>
      <c r="B20" s="74">
        <v>-0.94670385802729096</v>
      </c>
      <c r="C20" s="75">
        <v>655.69896957000003</v>
      </c>
      <c r="D20" s="75">
        <v>-3747.17274696</v>
      </c>
      <c r="E20" s="75">
        <v>15168.62758119</v>
      </c>
      <c r="F20" s="75">
        <v>-35825.862214920002</v>
      </c>
      <c r="G20" s="75">
        <v>47219.47630065</v>
      </c>
      <c r="H20" s="75">
        <v>-32240.560440519999</v>
      </c>
      <c r="I20" s="76">
        <v>8872.4795265699995</v>
      </c>
      <c r="J20" s="77"/>
    </row>
    <row r="21" spans="1:10" x14ac:dyDescent="0.25">
      <c r="A21" s="54" t="s">
        <v>99</v>
      </c>
      <c r="B21" s="68"/>
      <c r="C21" s="69"/>
      <c r="D21" s="69"/>
      <c r="E21" s="69"/>
      <c r="F21" s="69"/>
      <c r="G21" s="69"/>
      <c r="H21" s="69"/>
      <c r="I21" s="70"/>
      <c r="J21" s="53"/>
    </row>
    <row r="22" spans="1:10" x14ac:dyDescent="0.25">
      <c r="A22" s="200" t="s">
        <v>13</v>
      </c>
      <c r="B22" s="62">
        <v>-4.5511685173249798</v>
      </c>
      <c r="C22" s="63">
        <v>0.36458814899999997</v>
      </c>
      <c r="D22" s="63">
        <v>-6.9467132500000001E-4</v>
      </c>
      <c r="E22" s="63">
        <v>7.1751583199999995E-7</v>
      </c>
      <c r="F22" s="63">
        <v>-3.7340575099999999E-10</v>
      </c>
      <c r="G22" s="63">
        <v>7.6172358399999997E-14</v>
      </c>
      <c r="H22" s="63"/>
      <c r="I22" s="78"/>
      <c r="J22" s="79" t="s">
        <v>100</v>
      </c>
    </row>
    <row r="23" spans="1:10" x14ac:dyDescent="0.25">
      <c r="A23" s="200"/>
      <c r="B23" s="62">
        <v>74.121017709745701</v>
      </c>
      <c r="C23" s="63">
        <v>1.60737281E-2</v>
      </c>
      <c r="D23" s="63">
        <v>-4.1873155899999997E-6</v>
      </c>
      <c r="E23" s="63">
        <v>3.9413932800000002E-10</v>
      </c>
      <c r="F23" s="63"/>
      <c r="G23" s="63"/>
      <c r="H23" s="63"/>
      <c r="I23" s="78"/>
      <c r="J23" s="79" t="s">
        <v>101</v>
      </c>
    </row>
    <row r="24" spans="1:10" x14ac:dyDescent="0.25">
      <c r="A24" s="200"/>
      <c r="B24" s="62">
        <v>91.400203034900002</v>
      </c>
      <c r="C24" s="63">
        <v>1.8892223E-3</v>
      </c>
      <c r="D24" s="63">
        <v>-1.70347587E-7</v>
      </c>
      <c r="E24" s="63">
        <v>7.0054666300000004E-12</v>
      </c>
      <c r="F24" s="63">
        <v>-1.0747874E-16</v>
      </c>
      <c r="G24" s="63"/>
      <c r="H24" s="63"/>
      <c r="I24" s="78"/>
      <c r="J24" s="79" t="s">
        <v>102</v>
      </c>
    </row>
    <row r="25" spans="1:10" x14ac:dyDescent="0.25">
      <c r="A25" s="200"/>
      <c r="B25" s="62">
        <v>100</v>
      </c>
      <c r="C25" s="63"/>
      <c r="D25" s="63"/>
      <c r="E25" s="63"/>
      <c r="F25" s="63"/>
      <c r="G25" s="63"/>
      <c r="H25" s="63"/>
      <c r="I25" s="78"/>
      <c r="J25" s="79" t="s">
        <v>103</v>
      </c>
    </row>
    <row r="26" spans="1:10" ht="30" x14ac:dyDescent="0.25">
      <c r="A26" s="56" t="s">
        <v>14</v>
      </c>
      <c r="B26" s="57">
        <v>100.66674829412401</v>
      </c>
      <c r="C26" s="58">
        <v>167.29638510000001</v>
      </c>
      <c r="D26" s="58">
        <v>99.685633190000004</v>
      </c>
      <c r="E26" s="58">
        <v>26.348627369999999</v>
      </c>
      <c r="F26" s="58">
        <v>14.55774441</v>
      </c>
      <c r="G26" s="58">
        <v>13.30209305</v>
      </c>
      <c r="H26" s="58">
        <v>5.0148233099999997</v>
      </c>
      <c r="I26" s="71">
        <v>0.63463468000000001</v>
      </c>
      <c r="J26" s="72"/>
    </row>
    <row r="27" spans="1:10" x14ac:dyDescent="0.25">
      <c r="A27" s="73" t="s">
        <v>15</v>
      </c>
      <c r="B27" s="80">
        <v>-1606.5671826903899</v>
      </c>
      <c r="C27" s="81">
        <v>14469.35592708</v>
      </c>
      <c r="D27" s="81">
        <v>-50235.280277459999</v>
      </c>
      <c r="E27" s="81">
        <v>84419.299823730005</v>
      </c>
      <c r="F27" s="81">
        <v>-68983.179666280004</v>
      </c>
      <c r="G27" s="81">
        <v>22041.249027710001</v>
      </c>
      <c r="H27" s="82"/>
      <c r="I27" s="83"/>
      <c r="J27" s="84"/>
    </row>
    <row r="28" spans="1:10" x14ac:dyDescent="0.25">
      <c r="A28" s="54" t="s">
        <v>104</v>
      </c>
      <c r="B28" s="68"/>
      <c r="C28" s="69"/>
      <c r="D28" s="69"/>
      <c r="E28" s="69"/>
      <c r="F28" s="69"/>
      <c r="G28" s="69"/>
      <c r="H28" s="69"/>
      <c r="I28" s="70"/>
      <c r="J28" s="53"/>
    </row>
    <row r="29" spans="1:10" x14ac:dyDescent="0.25">
      <c r="A29" s="56" t="s">
        <v>16</v>
      </c>
      <c r="B29" s="57">
        <v>0.77113465975629203</v>
      </c>
      <c r="C29" s="58">
        <v>-40.474172660000001</v>
      </c>
      <c r="D29" s="58">
        <v>601.74494023</v>
      </c>
      <c r="E29" s="58">
        <v>-1378.5779160899999</v>
      </c>
      <c r="F29" s="58">
        <v>1467.9627599</v>
      </c>
      <c r="G29" s="58">
        <v>-548.63510412000005</v>
      </c>
      <c r="H29" s="58"/>
      <c r="I29" s="71"/>
      <c r="J29" s="72"/>
    </row>
    <row r="30" spans="1:10" ht="30" x14ac:dyDescent="0.25">
      <c r="A30" s="73" t="s">
        <v>17</v>
      </c>
      <c r="B30" s="74">
        <v>-2.72089739817415</v>
      </c>
      <c r="C30" s="75">
        <v>81.976054899999994</v>
      </c>
      <c r="D30" s="75">
        <v>-564.46884542999999</v>
      </c>
      <c r="E30" s="75">
        <v>2932.2720489100002</v>
      </c>
      <c r="F30" s="75">
        <v>-6221.9292848100004</v>
      </c>
      <c r="G30" s="75">
        <v>6011.0819042599996</v>
      </c>
      <c r="H30" s="75">
        <v>-2135.2287570899998</v>
      </c>
      <c r="I30" s="76"/>
      <c r="J30" s="77"/>
    </row>
    <row r="31" spans="1:10" x14ac:dyDescent="0.25">
      <c r="A31" s="54" t="s">
        <v>105</v>
      </c>
      <c r="B31" s="68"/>
      <c r="C31" s="69"/>
      <c r="D31" s="69"/>
      <c r="E31" s="69"/>
      <c r="F31" s="69"/>
      <c r="G31" s="69"/>
      <c r="H31" s="69"/>
      <c r="I31" s="70"/>
      <c r="J31" s="53"/>
    </row>
    <row r="32" spans="1:10" x14ac:dyDescent="0.25">
      <c r="A32" s="56" t="s">
        <v>29</v>
      </c>
      <c r="B32" s="57">
        <v>0.44684422042772098</v>
      </c>
      <c r="C32" s="58">
        <v>-0.114459241</v>
      </c>
      <c r="D32" s="58">
        <v>3.9713702300000001E-2</v>
      </c>
      <c r="E32" s="58">
        <v>8.0143366200000001E-4</v>
      </c>
      <c r="F32" s="58">
        <v>-5.9454131000000002E-5</v>
      </c>
      <c r="G32" s="58">
        <v>1.13314169E-6</v>
      </c>
      <c r="H32" s="58">
        <v>-9.3674162000000008E-9</v>
      </c>
      <c r="I32" s="71">
        <v>2.89187979E-11</v>
      </c>
      <c r="J32" s="132" t="s">
        <v>35</v>
      </c>
    </row>
    <row r="33" spans="1:10" ht="30" x14ac:dyDescent="0.25">
      <c r="A33" s="73" t="s">
        <v>30</v>
      </c>
      <c r="B33" s="74">
        <v>0.78235062399736599</v>
      </c>
      <c r="C33" s="75">
        <v>-0.43284336600000001</v>
      </c>
      <c r="D33" s="75">
        <v>0.13768878700000001</v>
      </c>
      <c r="E33" s="75">
        <v>-4.0469014400000003E-3</v>
      </c>
      <c r="F33" s="75">
        <v>6.0394214500000002E-5</v>
      </c>
      <c r="G33" s="75">
        <v>-4.6699545E-7</v>
      </c>
      <c r="H33" s="75">
        <v>1.44425727E-9</v>
      </c>
      <c r="I33" s="76"/>
      <c r="J33" s="77"/>
    </row>
    <row r="34" spans="1:10" x14ac:dyDescent="0.25">
      <c r="A34" s="54" t="s">
        <v>106</v>
      </c>
      <c r="B34" s="68"/>
      <c r="C34" s="69"/>
      <c r="D34" s="69"/>
      <c r="E34" s="69"/>
      <c r="F34" s="69"/>
      <c r="G34" s="69"/>
      <c r="H34" s="69"/>
      <c r="I34" s="70"/>
      <c r="J34" s="53"/>
    </row>
    <row r="35" spans="1:10" x14ac:dyDescent="0.25">
      <c r="A35" s="56" t="s">
        <v>18</v>
      </c>
      <c r="B35" s="57">
        <v>0.291085684767807</v>
      </c>
      <c r="C35" s="58">
        <v>-10.4628578</v>
      </c>
      <c r="D35" s="58">
        <v>481.16146800000001</v>
      </c>
      <c r="E35" s="58">
        <v>-2857.70471</v>
      </c>
      <c r="F35" s="58">
        <v>8369.3969099999995</v>
      </c>
      <c r="G35" s="58">
        <v>-12754.915499999999</v>
      </c>
      <c r="H35" s="58">
        <v>9865.8449500000006</v>
      </c>
      <c r="I35" s="71">
        <v>-2988.0753399999999</v>
      </c>
      <c r="J35" s="72"/>
    </row>
    <row r="36" spans="1:10" ht="30" x14ac:dyDescent="0.25">
      <c r="A36" s="56" t="s">
        <v>19</v>
      </c>
      <c r="B36" s="57">
        <v>5.1991089121687803</v>
      </c>
      <c r="C36" s="58">
        <v>34.709042400000001</v>
      </c>
      <c r="D36" s="58">
        <v>-6.47779433</v>
      </c>
      <c r="E36" s="58">
        <v>0.682720153</v>
      </c>
      <c r="F36" s="58">
        <v>-4.1870421499999998E-2</v>
      </c>
      <c r="G36" s="58">
        <v>1.4750916E-3</v>
      </c>
      <c r="H36" s="58">
        <v>-2.76088326E-5</v>
      </c>
      <c r="I36" s="71">
        <v>2.12380519E-7</v>
      </c>
      <c r="J36" s="72"/>
    </row>
    <row r="37" spans="1:10" ht="30" x14ac:dyDescent="0.25">
      <c r="A37" s="73" t="s">
        <v>20</v>
      </c>
      <c r="B37" s="74">
        <v>35.068413579485302</v>
      </c>
      <c r="C37" s="75">
        <v>30.4323142</v>
      </c>
      <c r="D37" s="75">
        <v>-7.4892550599999996</v>
      </c>
      <c r="E37" s="75">
        <v>1.0691231999999999</v>
      </c>
      <c r="F37" s="75">
        <v>-9.0095081199999996E-2</v>
      </c>
      <c r="G37" s="75">
        <v>4.3923993099999996E-3</v>
      </c>
      <c r="H37" s="75">
        <v>-1.14138916E-4</v>
      </c>
      <c r="I37" s="76">
        <v>1.2205643000000001E-6</v>
      </c>
      <c r="J37" s="77"/>
    </row>
    <row r="38" spans="1:10" x14ac:dyDescent="0.25">
      <c r="A38" s="131" t="s">
        <v>93</v>
      </c>
    </row>
    <row r="39" spans="1:10" x14ac:dyDescent="0.25">
      <c r="B39" s="47"/>
    </row>
    <row r="40" spans="1:10" x14ac:dyDescent="0.25">
      <c r="A40" s="202" t="s">
        <v>189</v>
      </c>
      <c r="B40" s="202"/>
      <c r="C40" s="202"/>
      <c r="D40" s="202"/>
      <c r="E40" s="202"/>
      <c r="F40" s="202"/>
      <c r="G40" s="202"/>
      <c r="H40" s="202"/>
      <c r="I40" s="202"/>
      <c r="J40" s="202"/>
    </row>
    <row r="41" spans="1:10" x14ac:dyDescent="0.25">
      <c r="A41" s="202"/>
      <c r="B41" s="202"/>
      <c r="C41" s="202"/>
      <c r="D41" s="202"/>
      <c r="E41" s="202"/>
      <c r="F41" s="202"/>
      <c r="G41" s="202"/>
      <c r="H41" s="202"/>
      <c r="I41" s="202"/>
      <c r="J41" s="202"/>
    </row>
    <row r="42" spans="1:10" x14ac:dyDescent="0.25">
      <c r="A42" s="202"/>
      <c r="B42" s="202"/>
      <c r="C42" s="202"/>
      <c r="D42" s="202"/>
      <c r="E42" s="202"/>
      <c r="F42" s="202"/>
      <c r="G42" s="202"/>
      <c r="H42" s="202"/>
      <c r="I42" s="202"/>
      <c r="J42" s="202"/>
    </row>
    <row r="43" spans="1:10" x14ac:dyDescent="0.25">
      <c r="A43" s="202"/>
      <c r="B43" s="202"/>
      <c r="C43" s="202"/>
      <c r="D43" s="202"/>
      <c r="E43" s="202"/>
      <c r="F43" s="202"/>
      <c r="G43" s="202"/>
      <c r="H43" s="202"/>
      <c r="I43" s="202"/>
      <c r="J43" s="202"/>
    </row>
    <row r="44" spans="1:10" x14ac:dyDescent="0.25">
      <c r="A44" s="202"/>
      <c r="B44" s="202"/>
      <c r="C44" s="202"/>
      <c r="D44" s="202"/>
      <c r="E44" s="202"/>
      <c r="F44" s="202"/>
      <c r="G44" s="202"/>
      <c r="H44" s="202"/>
      <c r="I44" s="202"/>
      <c r="J44" s="202"/>
    </row>
    <row r="45" spans="1:10" x14ac:dyDescent="0.25">
      <c r="B45" s="48"/>
      <c r="C45" s="49"/>
      <c r="D45" s="48"/>
      <c r="H45" s="47"/>
      <c r="J45" s="85"/>
    </row>
    <row r="46" spans="1:10" x14ac:dyDescent="0.25">
      <c r="B46" s="48"/>
      <c r="C46" s="49"/>
      <c r="D46" s="48"/>
      <c r="H46" s="47"/>
      <c r="J46" s="85"/>
    </row>
    <row r="47" spans="1:10" x14ac:dyDescent="0.25">
      <c r="B47" s="48"/>
      <c r="C47" s="49"/>
      <c r="D47" s="48"/>
      <c r="H47" s="47"/>
      <c r="J47" s="85"/>
    </row>
    <row r="48" spans="1:10" x14ac:dyDescent="0.25">
      <c r="B48" s="49"/>
      <c r="C48" s="49"/>
      <c r="D48" s="49"/>
      <c r="H48" s="47"/>
      <c r="J48" s="85"/>
    </row>
    <row r="49" spans="2:10" x14ac:dyDescent="0.25">
      <c r="B49" s="49"/>
      <c r="C49" s="49"/>
      <c r="D49" s="49"/>
      <c r="H49" s="47"/>
      <c r="J49" s="85"/>
    </row>
    <row r="50" spans="2:10" x14ac:dyDescent="0.25">
      <c r="B50" s="49"/>
      <c r="C50" s="49"/>
      <c r="D50" s="49"/>
    </row>
  </sheetData>
  <sheetProtection algorithmName="SHA-512" hashValue="pkgKFRSol1YR5buS7xjO+ZLviDBBUhlFclKJFaHNqTPhgMaQcGsWqLrs/Y5r41yIWEG/5avb22gAZiKxThq/Tg==" saltValue="jpa+T75T9zis/8FQJh9HwQ==" spinCount="100000" sheet="1" objects="1" scenarios="1" selectLockedCells="1" selectUnlockedCells="1"/>
  <mergeCells count="3">
    <mergeCell ref="A15:A16"/>
    <mergeCell ref="A22:A25"/>
    <mergeCell ref="A40:J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90" zoomScaleNormal="90" workbookViewId="0">
      <selection activeCell="B12" sqref="B12"/>
    </sheetView>
  </sheetViews>
  <sheetFormatPr defaultRowHeight="15" x14ac:dyDescent="0.25"/>
  <cols>
    <col min="1" max="1" width="7" style="5" customWidth="1"/>
    <col min="2" max="2" width="106.28515625" customWidth="1"/>
    <col min="3" max="3" width="21.5703125" customWidth="1"/>
    <col min="4" max="4" width="23.5703125" customWidth="1"/>
    <col min="5" max="5" width="33" bestFit="1" customWidth="1"/>
  </cols>
  <sheetData>
    <row r="1" spans="1:4" s="27" customFormat="1" ht="28.5" customHeight="1" x14ac:dyDescent="0.25">
      <c r="A1" s="169" t="s">
        <v>132</v>
      </c>
      <c r="B1" s="171"/>
      <c r="C1" s="171"/>
      <c r="D1" s="170"/>
    </row>
    <row r="2" spans="1:4" s="27" customFormat="1" ht="36" customHeight="1" x14ac:dyDescent="0.25">
      <c r="A2" s="169"/>
      <c r="B2" s="170"/>
      <c r="C2" s="117" t="s">
        <v>150</v>
      </c>
      <c r="D2" s="117" t="s">
        <v>130</v>
      </c>
    </row>
    <row r="3" spans="1:4" ht="18.95" customHeight="1" x14ac:dyDescent="0.25">
      <c r="A3" s="93">
        <v>1</v>
      </c>
      <c r="B3" s="118" t="s">
        <v>157</v>
      </c>
      <c r="C3" s="94">
        <v>125</v>
      </c>
      <c r="D3" s="168">
        <f>SUM('INDICI-PUNTEGGI'!C3:C15)</f>
        <v>11.458033301435488</v>
      </c>
    </row>
    <row r="4" spans="1:4" ht="18.95" customHeight="1" x14ac:dyDescent="0.25">
      <c r="A4" s="93">
        <v>2</v>
      </c>
      <c r="B4" s="118" t="s">
        <v>158</v>
      </c>
      <c r="C4" s="94">
        <v>23</v>
      </c>
      <c r="D4" s="168"/>
    </row>
    <row r="5" spans="1:4" ht="18.95" customHeight="1" x14ac:dyDescent="0.25">
      <c r="A5" s="93">
        <v>3</v>
      </c>
      <c r="B5" s="119" t="s">
        <v>159</v>
      </c>
      <c r="C5" s="94">
        <v>1</v>
      </c>
      <c r="D5" s="168"/>
    </row>
    <row r="6" spans="1:4" ht="18.95" customHeight="1" x14ac:dyDescent="0.25">
      <c r="A6" s="93">
        <v>4</v>
      </c>
      <c r="B6" s="119" t="s">
        <v>160</v>
      </c>
      <c r="C6" s="94">
        <v>12</v>
      </c>
      <c r="D6" s="168"/>
    </row>
    <row r="7" spans="1:4" ht="18.95" customHeight="1" x14ac:dyDescent="0.25">
      <c r="A7" s="93">
        <v>5</v>
      </c>
      <c r="B7" s="119" t="s">
        <v>161</v>
      </c>
      <c r="C7" s="94">
        <v>10</v>
      </c>
      <c r="D7" s="168"/>
    </row>
    <row r="8" spans="1:4" ht="18.95" customHeight="1" x14ac:dyDescent="0.25">
      <c r="A8" s="93">
        <v>6</v>
      </c>
      <c r="B8" s="118" t="s">
        <v>162</v>
      </c>
      <c r="C8" s="94">
        <v>8</v>
      </c>
      <c r="D8" s="168"/>
    </row>
    <row r="9" spans="1:4" ht="18.95" customHeight="1" x14ac:dyDescent="0.25">
      <c r="A9" s="93">
        <v>7</v>
      </c>
      <c r="B9" s="118" t="s">
        <v>163</v>
      </c>
      <c r="C9" s="94">
        <v>3</v>
      </c>
      <c r="D9" s="168"/>
    </row>
    <row r="10" spans="1:4" ht="18.95" customHeight="1" x14ac:dyDescent="0.25">
      <c r="A10" s="93">
        <v>8</v>
      </c>
      <c r="B10" s="118" t="s">
        <v>164</v>
      </c>
      <c r="C10" s="94">
        <v>12</v>
      </c>
      <c r="D10" s="168"/>
    </row>
    <row r="11" spans="1:4" ht="18.95" customHeight="1" x14ac:dyDescent="0.25">
      <c r="A11" s="93">
        <v>9</v>
      </c>
      <c r="B11" s="119" t="s">
        <v>170</v>
      </c>
      <c r="C11" s="94">
        <v>6</v>
      </c>
      <c r="D11" s="168"/>
    </row>
    <row r="12" spans="1:4" ht="18.95" customHeight="1" x14ac:dyDescent="0.25">
      <c r="A12" s="93">
        <v>10</v>
      </c>
      <c r="B12" s="118" t="s">
        <v>165</v>
      </c>
      <c r="C12" s="94">
        <v>7</v>
      </c>
      <c r="D12" s="168"/>
    </row>
    <row r="13" spans="1:4" ht="18.95" customHeight="1" x14ac:dyDescent="0.25">
      <c r="A13" s="93">
        <v>11</v>
      </c>
      <c r="B13" s="118" t="s">
        <v>166</v>
      </c>
      <c r="C13" s="94">
        <v>2</v>
      </c>
      <c r="D13" s="168"/>
    </row>
    <row r="14" spans="1:4" ht="18.95" customHeight="1" x14ac:dyDescent="0.25">
      <c r="A14" s="93">
        <v>12</v>
      </c>
      <c r="B14" s="118" t="s">
        <v>167</v>
      </c>
      <c r="C14" s="94">
        <v>3</v>
      </c>
      <c r="D14" s="168"/>
    </row>
    <row r="15" spans="1:4" ht="18.95" customHeight="1" x14ac:dyDescent="0.25">
      <c r="A15" s="93">
        <v>13</v>
      </c>
      <c r="B15" s="118" t="s">
        <v>168</v>
      </c>
      <c r="C15" s="94">
        <v>3</v>
      </c>
      <c r="D15" s="168"/>
    </row>
    <row r="16" spans="1:4" ht="18.95" customHeight="1" x14ac:dyDescent="0.25">
      <c r="A16" s="93">
        <v>14</v>
      </c>
      <c r="B16" s="118" t="s">
        <v>169</v>
      </c>
      <c r="C16" s="94">
        <v>1</v>
      </c>
      <c r="D16" s="168"/>
    </row>
    <row r="19" spans="5:5" x14ac:dyDescent="0.25">
      <c r="E19" s="25"/>
    </row>
  </sheetData>
  <sheetProtection algorithmName="SHA-512" hashValue="VvmOpLcZ3zotKKFAmMOrHhSxUFomm/6n1Jf5Q4A8CmK568fX1nJqRDgJBYj6zzfl/itPR+8x7j7ktdcFMaLx0Q==" saltValue="uuqJwx4ie/afiNvDTachuQ==" spinCount="100000" sheet="1" objects="1" scenarios="1"/>
  <protectedRanges>
    <protectedRange sqref="C3:C16" name="Intervallo1"/>
  </protectedRanges>
  <mergeCells count="3">
    <mergeCell ref="D3:D16"/>
    <mergeCell ref="A2:B2"/>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90" zoomScaleNormal="90" workbookViewId="0">
      <selection sqref="A1:D1"/>
    </sheetView>
  </sheetViews>
  <sheetFormatPr defaultRowHeight="15" x14ac:dyDescent="0.25"/>
  <cols>
    <col min="1" max="1" width="9.140625" style="5"/>
    <col min="2" max="2" width="104" customWidth="1"/>
    <col min="3" max="3" width="12.7109375" customWidth="1"/>
    <col min="4" max="4" width="18.7109375" customWidth="1"/>
    <col min="5" max="5" width="33" bestFit="1" customWidth="1"/>
  </cols>
  <sheetData>
    <row r="1" spans="1:4" ht="30" customHeight="1" x14ac:dyDescent="0.25">
      <c r="A1" s="169" t="s">
        <v>133</v>
      </c>
      <c r="B1" s="171"/>
      <c r="C1" s="171"/>
      <c r="D1" s="170"/>
    </row>
    <row r="2" spans="1:4" ht="48" customHeight="1" x14ac:dyDescent="0.25">
      <c r="A2" s="169"/>
      <c r="B2" s="170"/>
      <c r="C2" s="117" t="s">
        <v>150</v>
      </c>
      <c r="D2" s="117" t="s">
        <v>130</v>
      </c>
    </row>
    <row r="3" spans="1:4" ht="50.25" customHeight="1" x14ac:dyDescent="0.25">
      <c r="A3" s="93">
        <v>1</v>
      </c>
      <c r="B3" s="120" t="s">
        <v>127</v>
      </c>
      <c r="C3" s="94">
        <v>8</v>
      </c>
      <c r="D3" s="174">
        <f>SUM('INDICI-PUNTEGGI'!C17:C19)</f>
        <v>7.8143436299085822</v>
      </c>
    </row>
    <row r="4" spans="1:4" ht="50.25" customHeight="1" x14ac:dyDescent="0.25">
      <c r="A4" s="93">
        <v>2</v>
      </c>
      <c r="B4" s="120" t="s">
        <v>128</v>
      </c>
      <c r="C4" s="94">
        <v>5</v>
      </c>
      <c r="D4" s="174"/>
    </row>
    <row r="5" spans="1:4" ht="50.25" customHeight="1" x14ac:dyDescent="0.25">
      <c r="A5" s="93">
        <v>3</v>
      </c>
      <c r="B5" s="120" t="s">
        <v>129</v>
      </c>
      <c r="C5" s="94">
        <v>2</v>
      </c>
      <c r="D5" s="174"/>
    </row>
    <row r="6" spans="1:4" ht="192.75" customHeight="1" x14ac:dyDescent="0.25">
      <c r="A6" s="172" t="s">
        <v>171</v>
      </c>
      <c r="B6" s="172"/>
      <c r="C6" s="172"/>
      <c r="D6" s="172"/>
    </row>
    <row r="7" spans="1:4" ht="15" hidden="1" customHeight="1" x14ac:dyDescent="0.25">
      <c r="A7" s="173"/>
      <c r="B7" s="173"/>
      <c r="C7" s="173"/>
      <c r="D7" s="173"/>
    </row>
    <row r="8" spans="1:4" ht="1.5" customHeight="1" x14ac:dyDescent="0.25">
      <c r="A8" s="173"/>
      <c r="B8" s="173"/>
      <c r="C8" s="173"/>
      <c r="D8" s="173"/>
    </row>
    <row r="9" spans="1:4" ht="15" hidden="1" customHeight="1" x14ac:dyDescent="0.25">
      <c r="A9" s="173"/>
      <c r="B9" s="173"/>
      <c r="C9" s="173"/>
      <c r="D9" s="173"/>
    </row>
    <row r="10" spans="1:4" ht="15" hidden="1" customHeight="1" x14ac:dyDescent="0.25">
      <c r="A10" s="173"/>
      <c r="B10" s="173"/>
      <c r="C10" s="173"/>
      <c r="D10" s="173"/>
    </row>
  </sheetData>
  <sheetProtection algorithmName="SHA-512" hashValue="QmVgVFeRuaZTBaEvgzr26oGTMytyVjY8rtW1QV3gPa4bkcp65260YS4o0Z99oW0f+s0AC8cPq563WW/dbvvnzQ==" saltValue="bMzAzaWmqD0iLoHe4z6VzA==" spinCount="100000" sheet="1" objects="1" scenarios="1"/>
  <protectedRanges>
    <protectedRange sqref="C3:C5" name="Intervallo1"/>
  </protectedRanges>
  <mergeCells count="4">
    <mergeCell ref="A6:D10"/>
    <mergeCell ref="D3:D5"/>
    <mergeCell ref="A2:B2"/>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90" zoomScaleNormal="90" workbookViewId="0">
      <selection activeCell="C3" sqref="C3"/>
    </sheetView>
  </sheetViews>
  <sheetFormatPr defaultColWidth="15" defaultRowHeight="24" customHeight="1" x14ac:dyDescent="0.25"/>
  <cols>
    <col min="1" max="1" width="10.42578125" style="15" customWidth="1"/>
    <col min="2" max="2" width="114.5703125" style="2" customWidth="1"/>
    <col min="3" max="3" width="20" style="2" customWidth="1"/>
    <col min="4" max="4" width="19.140625" customWidth="1"/>
    <col min="5" max="5" width="218.140625" style="7" bestFit="1" customWidth="1"/>
  </cols>
  <sheetData>
    <row r="1" spans="1:6" ht="24" customHeight="1" x14ac:dyDescent="0.25">
      <c r="A1" s="169" t="s">
        <v>67</v>
      </c>
      <c r="B1" s="171"/>
      <c r="C1" s="171"/>
      <c r="D1" s="170"/>
    </row>
    <row r="2" spans="1:6" ht="49.5" customHeight="1" x14ac:dyDescent="0.25">
      <c r="A2" s="175"/>
      <c r="B2" s="175"/>
      <c r="C2" s="117" t="s">
        <v>172</v>
      </c>
      <c r="D2" s="117" t="s">
        <v>130</v>
      </c>
    </row>
    <row r="3" spans="1:6" ht="43.5" customHeight="1" x14ac:dyDescent="0.25">
      <c r="A3" s="29">
        <v>1</v>
      </c>
      <c r="B3" s="112" t="s">
        <v>147</v>
      </c>
      <c r="C3" s="111">
        <f>Gare!D3</f>
        <v>25</v>
      </c>
      <c r="D3" s="174">
        <f>SUM('INDICI-PUNTEGGI'!C25:C26)</f>
        <v>4.0071037576985233</v>
      </c>
      <c r="E3"/>
      <c r="F3">
        <v>35.669693609795956</v>
      </c>
    </row>
    <row r="4" spans="1:6" ht="43.5" customHeight="1" x14ac:dyDescent="0.25">
      <c r="A4" s="29">
        <v>2</v>
      </c>
      <c r="B4" s="113" t="s">
        <v>151</v>
      </c>
      <c r="C4" s="101">
        <f>Gare!D4</f>
        <v>22</v>
      </c>
      <c r="D4" s="174"/>
      <c r="E4"/>
    </row>
    <row r="5" spans="1:6" ht="43.5" customHeight="1" x14ac:dyDescent="0.25">
      <c r="A5" s="29">
        <v>3</v>
      </c>
      <c r="B5" s="113" t="s">
        <v>184</v>
      </c>
      <c r="C5" s="101">
        <f>SUM(Gare!D5)</f>
        <v>2</v>
      </c>
      <c r="D5" s="174"/>
      <c r="E5"/>
    </row>
    <row r="6" spans="1:6" ht="43.5" customHeight="1" x14ac:dyDescent="0.25">
      <c r="A6" s="29">
        <v>4</v>
      </c>
      <c r="B6" s="113" t="s">
        <v>185</v>
      </c>
      <c r="C6" s="101">
        <f>SUM(Gare!D6)</f>
        <v>20</v>
      </c>
      <c r="D6" s="174"/>
      <c r="E6"/>
    </row>
    <row r="7" spans="1:6" ht="24" customHeight="1" x14ac:dyDescent="0.25">
      <c r="B7" s="8"/>
    </row>
  </sheetData>
  <sheetProtection selectLockedCells="1" selectUnlockedCells="1"/>
  <mergeCells count="3">
    <mergeCell ref="A1:D1"/>
    <mergeCell ref="A2:B2"/>
    <mergeCell ref="D3:D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90" zoomScaleNormal="90" workbookViewId="0">
      <selection activeCell="C3" sqref="C3"/>
    </sheetView>
  </sheetViews>
  <sheetFormatPr defaultRowHeight="15" x14ac:dyDescent="0.25"/>
  <cols>
    <col min="2" max="2" width="111.28515625" customWidth="1"/>
    <col min="3" max="3" width="15.140625" customWidth="1"/>
    <col min="4" max="4" width="15.140625" style="26" customWidth="1"/>
    <col min="5" max="5" width="33" bestFit="1" customWidth="1"/>
  </cols>
  <sheetData>
    <row r="1" spans="1:4" ht="49.5" customHeight="1" x14ac:dyDescent="0.25">
      <c r="A1" s="169" t="s">
        <v>68</v>
      </c>
      <c r="B1" s="171"/>
      <c r="C1" s="171"/>
      <c r="D1" s="170"/>
    </row>
    <row r="2" spans="1:4" ht="51.75" customHeight="1" x14ac:dyDescent="0.25">
      <c r="A2" s="175" t="s">
        <v>131</v>
      </c>
      <c r="B2" s="175"/>
      <c r="C2" s="117" t="s">
        <v>173</v>
      </c>
      <c r="D2" s="117" t="s">
        <v>130</v>
      </c>
    </row>
    <row r="3" spans="1:4" ht="55.5" customHeight="1" x14ac:dyDescent="0.25">
      <c r="A3" s="29">
        <v>1</v>
      </c>
      <c r="B3" s="100" t="s">
        <v>29</v>
      </c>
      <c r="C3" s="94">
        <v>85</v>
      </c>
      <c r="D3" s="176">
        <f>SUM('INDICI-PUNTEGGI'!C28:C29)</f>
        <v>3.0104567062027567</v>
      </c>
    </row>
    <row r="4" spans="1:4" ht="55.5" customHeight="1" x14ac:dyDescent="0.25">
      <c r="A4" s="29">
        <v>2</v>
      </c>
      <c r="B4" s="100" t="s">
        <v>30</v>
      </c>
      <c r="C4" s="94">
        <v>25</v>
      </c>
      <c r="D4" s="177"/>
    </row>
    <row r="5" spans="1:4" x14ac:dyDescent="0.25">
      <c r="C5" s="4"/>
    </row>
  </sheetData>
  <sheetProtection algorithmName="SHA-512" hashValue="jc5Ps4BDl3XFTBt9LsnESfR7kGfFjNvMsW4uhKgvKat5s9uHitoMUlyCFHMgv2ZeK3BnSZXqkjbAes3KTIqoNQ==" saltValue="F9mn9f6L37oC7wNd2d+r9Q==" spinCount="100000" sheet="1" objects="1" scenarios="1"/>
  <protectedRanges>
    <protectedRange sqref="C3:C4" name="Intervallo1"/>
  </protectedRanges>
  <mergeCells count="3">
    <mergeCell ref="A2:B2"/>
    <mergeCell ref="A1:D1"/>
    <mergeCell ref="D3:D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90" zoomScaleNormal="90" workbookViewId="0">
      <selection activeCell="B6" sqref="B6"/>
    </sheetView>
  </sheetViews>
  <sheetFormatPr defaultColWidth="15" defaultRowHeight="24" customHeight="1" x14ac:dyDescent="0.25"/>
  <cols>
    <col min="1" max="1" width="8.42578125" style="15" customWidth="1"/>
    <col min="2" max="2" width="110.7109375" style="2" customWidth="1"/>
    <col min="3" max="3" width="26.42578125" customWidth="1"/>
    <col min="4" max="4" width="23.140625" style="7" customWidth="1"/>
    <col min="5" max="5" width="34.28515625" customWidth="1"/>
    <col min="7" max="7" width="30.42578125" customWidth="1"/>
  </cols>
  <sheetData>
    <row r="1" spans="1:7" ht="19.5" customHeight="1" x14ac:dyDescent="0.25">
      <c r="A1" s="175" t="s">
        <v>69</v>
      </c>
      <c r="B1" s="175"/>
      <c r="C1" s="175"/>
      <c r="D1" s="175"/>
    </row>
    <row r="2" spans="1:7" s="6" customFormat="1" ht="45" customHeight="1" x14ac:dyDescent="0.25">
      <c r="A2" s="175"/>
      <c r="B2" s="175"/>
      <c r="C2" s="117" t="s">
        <v>150</v>
      </c>
      <c r="D2" s="117" t="s">
        <v>130</v>
      </c>
    </row>
    <row r="3" spans="1:7" s="6" customFormat="1" ht="38.1" customHeight="1" x14ac:dyDescent="0.25">
      <c r="A3" s="93">
        <v>1</v>
      </c>
      <c r="B3" s="121" t="s">
        <v>153</v>
      </c>
      <c r="C3" s="114">
        <v>15</v>
      </c>
      <c r="D3" s="174">
        <f>SUM('INDICI-PUNTEGGI'!D31:D33)</f>
        <v>8.0561207227719969</v>
      </c>
      <c r="G3" s="21"/>
    </row>
    <row r="4" spans="1:7" s="19" customFormat="1" ht="38.1" customHeight="1" x14ac:dyDescent="0.25">
      <c r="A4" s="93">
        <v>2</v>
      </c>
      <c r="B4" s="121" t="s">
        <v>156</v>
      </c>
      <c r="C4" s="114">
        <v>13</v>
      </c>
      <c r="D4" s="174"/>
      <c r="G4" s="21"/>
    </row>
    <row r="5" spans="1:7" s="19" customFormat="1" ht="38.1" customHeight="1" x14ac:dyDescent="0.25">
      <c r="A5" s="93">
        <v>3</v>
      </c>
      <c r="B5" s="121" t="s">
        <v>71</v>
      </c>
      <c r="C5" s="114">
        <v>6</v>
      </c>
      <c r="D5" s="174"/>
    </row>
    <row r="6" spans="1:7" s="19" customFormat="1" ht="38.1" customHeight="1" x14ac:dyDescent="0.25">
      <c r="A6" s="29">
        <v>4</v>
      </c>
      <c r="B6" s="122" t="s">
        <v>72</v>
      </c>
      <c r="C6" s="114">
        <v>7</v>
      </c>
      <c r="D6" s="174"/>
    </row>
    <row r="7" spans="1:7" s="19" customFormat="1" ht="35.25" customHeight="1" x14ac:dyDescent="0.25">
      <c r="A7" s="179"/>
      <c r="B7" s="180"/>
      <c r="C7" s="123" t="str">
        <f>IF(SUM(C5:C6)=C4,"","Numero di gare indicate al punto 3 e 4 NON COERENTE con il dato indicato al punto 2 - VERIFICARE")</f>
        <v/>
      </c>
      <c r="D7" s="174"/>
    </row>
    <row r="8" spans="1:7" ht="26.25" customHeight="1" x14ac:dyDescent="0.25">
      <c r="A8" s="178" t="s">
        <v>154</v>
      </c>
      <c r="B8" s="178"/>
      <c r="C8" s="178"/>
      <c r="D8" s="178"/>
    </row>
    <row r="9" spans="1:7" ht="24" customHeight="1" x14ac:dyDescent="0.25">
      <c r="A9" s="178" t="s">
        <v>155</v>
      </c>
      <c r="B9" s="178"/>
      <c r="C9" s="178"/>
      <c r="D9" s="178"/>
    </row>
    <row r="10" spans="1:7" ht="24" customHeight="1" x14ac:dyDescent="0.25">
      <c r="B10"/>
    </row>
    <row r="11" spans="1:7" ht="24" customHeight="1" x14ac:dyDescent="0.25">
      <c r="B11"/>
    </row>
  </sheetData>
  <sheetProtection algorithmName="SHA-512" hashValue="txKDAu1MdsnO7dV4MaKWgPRgSdTwNFNPWx1SJWlA6l+9LmbGfsPA7Uq+VJQyoKnfg8n9CnXoWeW6suhyBVH00g==" saltValue="R2XeemJY7FRX6KWhzTl2QA==" spinCount="100000" sheet="1" objects="1" scenarios="1"/>
  <protectedRanges>
    <protectedRange sqref="C3:C6" name="Intervallo1"/>
  </protectedRanges>
  <mergeCells count="6">
    <mergeCell ref="A2:B2"/>
    <mergeCell ref="A1:D1"/>
    <mergeCell ref="A8:D8"/>
    <mergeCell ref="A9:D9"/>
    <mergeCell ref="D3:D7"/>
    <mergeCell ref="A7:B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8"/>
  <sheetViews>
    <sheetView workbookViewId="0">
      <selection activeCell="B6" sqref="B6"/>
    </sheetView>
  </sheetViews>
  <sheetFormatPr defaultRowHeight="15" x14ac:dyDescent="0.25"/>
  <cols>
    <col min="1" max="1" width="136.5703125" customWidth="1"/>
    <col min="2" max="2" width="25.28515625" customWidth="1"/>
  </cols>
  <sheetData>
    <row r="1" spans="1:2" ht="32.1" customHeight="1" x14ac:dyDescent="0.25">
      <c r="A1" s="124" t="s">
        <v>180</v>
      </c>
      <c r="B1" s="124" t="s">
        <v>32</v>
      </c>
    </row>
    <row r="2" spans="1:2" ht="32.1" customHeight="1" x14ac:dyDescent="0.25">
      <c r="A2" s="122" t="s">
        <v>174</v>
      </c>
      <c r="B2" s="127">
        <f>SUM(Gare!G3)</f>
        <v>34.683228009398</v>
      </c>
    </row>
    <row r="3" spans="1:2" ht="32.1" customHeight="1" x14ac:dyDescent="0.25">
      <c r="A3" s="122" t="s">
        <v>175</v>
      </c>
      <c r="B3" s="127">
        <f>SUM(Competenze!D3)</f>
        <v>11.458033301435488</v>
      </c>
    </row>
    <row r="4" spans="1:2" ht="32.1" customHeight="1" x14ac:dyDescent="0.25">
      <c r="A4" s="122" t="s">
        <v>176</v>
      </c>
      <c r="B4" s="127">
        <f>SUM(Formazione!D3)</f>
        <v>7.8143436299085822</v>
      </c>
    </row>
    <row r="5" spans="1:2" ht="32.1" customHeight="1" x14ac:dyDescent="0.25">
      <c r="A5" s="122" t="s">
        <v>177</v>
      </c>
      <c r="B5" s="127">
        <f>SUM('Obblighi comunicazione ANAC'!D3:D6)</f>
        <v>4.0071037576985233</v>
      </c>
    </row>
    <row r="6" spans="1:2" ht="32.1" customHeight="1" x14ac:dyDescent="0.25">
      <c r="A6" s="122" t="s">
        <v>178</v>
      </c>
      <c r="B6" s="127">
        <f>SUM('Monitoraggio RGS'!D3:D4)</f>
        <v>3.0104567062027567</v>
      </c>
    </row>
    <row r="7" spans="1:2" ht="32.1" customHeight="1" x14ac:dyDescent="0.25">
      <c r="A7" s="122" t="s">
        <v>179</v>
      </c>
      <c r="B7" s="127">
        <f>SUM('Utilizzo piattaforma telematica'!D3:D7)</f>
        <v>8.0561207227719969</v>
      </c>
    </row>
    <row r="8" spans="1:2" ht="32.1" customHeight="1" x14ac:dyDescent="0.25">
      <c r="A8" s="125" t="s">
        <v>181</v>
      </c>
      <c r="B8" s="126">
        <f>SUM(B2:B7)</f>
        <v>69.029286127415347</v>
      </c>
    </row>
  </sheetData>
  <sheetProtection algorithmName="SHA-512" hashValue="IzSSZ52W2DvsiyakNpfXAzQ99d8iPgzmvP5VevIt27BtOZ7F050mIw4AgDLQ7KmPb3ZQRXolRa0OPzq/tBHPNw==" saltValue="flpQwNPbHp6PrrQlacm2f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3"/>
  <sheetViews>
    <sheetView topLeftCell="A13" zoomScale="90" zoomScaleNormal="90" workbookViewId="0">
      <selection activeCell="C22" sqref="C22"/>
    </sheetView>
  </sheetViews>
  <sheetFormatPr defaultRowHeight="15" x14ac:dyDescent="0.25"/>
  <cols>
    <col min="1" max="1" width="144.85546875" customWidth="1"/>
    <col min="2" max="2" width="14.42578125" style="25" customWidth="1"/>
    <col min="3" max="3" width="14.42578125" style="108" customWidth="1"/>
    <col min="4" max="4" width="14.42578125" customWidth="1"/>
    <col min="5" max="5" width="14.42578125" style="25" customWidth="1"/>
  </cols>
  <sheetData>
    <row r="1" spans="1:5" s="128" customFormat="1" ht="41.25" customHeight="1" x14ac:dyDescent="0.25">
      <c r="A1" s="129" t="s">
        <v>36</v>
      </c>
      <c r="B1" s="125" t="s">
        <v>33</v>
      </c>
      <c r="C1" s="130" t="s">
        <v>188</v>
      </c>
      <c r="D1" s="125" t="s">
        <v>187</v>
      </c>
      <c r="E1" s="125" t="s">
        <v>145</v>
      </c>
    </row>
    <row r="2" spans="1:5" x14ac:dyDescent="0.25">
      <c r="A2" s="185" t="s">
        <v>73</v>
      </c>
      <c r="B2" s="186"/>
      <c r="C2" s="186"/>
      <c r="D2" s="187"/>
      <c r="E2" s="182">
        <f>SUM(D3+D17+D21+D25+D28+D31)</f>
        <v>69.029286127415347</v>
      </c>
    </row>
    <row r="3" spans="1:5" x14ac:dyDescent="0.25">
      <c r="A3" s="28" t="s">
        <v>0</v>
      </c>
      <c r="B3" s="103">
        <f>IF(Competenze!C3&gt;0,Competenze!C4/Competenze!C3,0)</f>
        <v>0.184</v>
      </c>
      <c r="C3" s="107">
        <f>IF(Competenze!C3&gt;0,INDICIb!C3,0)</f>
        <v>0.73778242496481605</v>
      </c>
      <c r="D3" s="181">
        <f>SUM(C3:C15)</f>
        <v>11.458033301435488</v>
      </c>
      <c r="E3" s="183"/>
    </row>
    <row r="4" spans="1:5" x14ac:dyDescent="0.25">
      <c r="A4" s="28" t="s">
        <v>1</v>
      </c>
      <c r="B4" s="33">
        <f>IF(Competenze!C4&gt;0,Competenze!C5,0)</f>
        <v>1</v>
      </c>
      <c r="C4" s="107">
        <f>IF(Competenze!C4&gt;0,INDICIb!C4,0)</f>
        <v>0.60835312724107848</v>
      </c>
      <c r="D4" s="181"/>
      <c r="E4" s="183"/>
    </row>
    <row r="5" spans="1:5" x14ac:dyDescent="0.25">
      <c r="A5" s="28" t="s">
        <v>2</v>
      </c>
      <c r="B5" s="33">
        <f>IF(Competenze!C4&gt;0,Competenze!C6,0)</f>
        <v>12</v>
      </c>
      <c r="C5" s="107">
        <f>IF(Competenze!C4&gt;0,INDICIb!C5,0)</f>
        <v>1.0489342226828537</v>
      </c>
      <c r="D5" s="181"/>
      <c r="E5" s="183"/>
    </row>
    <row r="6" spans="1:5" x14ac:dyDescent="0.25">
      <c r="A6" s="28" t="s">
        <v>3</v>
      </c>
      <c r="B6" s="33">
        <f>Competenze!C7</f>
        <v>10</v>
      </c>
      <c r="C6" s="107">
        <f>INDICIb!C6</f>
        <v>0.87503876051086205</v>
      </c>
      <c r="D6" s="181"/>
      <c r="E6" s="183"/>
    </row>
    <row r="7" spans="1:5" x14ac:dyDescent="0.25">
      <c r="A7" s="28" t="s">
        <v>4</v>
      </c>
      <c r="B7" s="103">
        <f>IF(Competenze!C4&gt;0,Competenze!C8/Competenze!C4,0)</f>
        <v>0.34782608695652173</v>
      </c>
      <c r="C7" s="107">
        <f>IF(Competenze!C4&gt;0,INDICIb!C7,0)</f>
        <v>0.20782702753563753</v>
      </c>
      <c r="D7" s="181"/>
      <c r="E7" s="183"/>
    </row>
    <row r="8" spans="1:5" x14ac:dyDescent="0.25">
      <c r="A8" s="28" t="s">
        <v>5</v>
      </c>
      <c r="B8" s="103">
        <f>IF(Competenze!C4&gt;0,Competenze!C9/Competenze!C4,0)</f>
        <v>0.13043478260869565</v>
      </c>
      <c r="C8" s="107">
        <f>IF(Competenze!C4&gt;0,INDICIb!C8,0)</f>
        <v>0.43079194559039224</v>
      </c>
      <c r="D8" s="181"/>
      <c r="E8" s="183"/>
    </row>
    <row r="9" spans="1:5" x14ac:dyDescent="0.25">
      <c r="A9" s="28" t="s">
        <v>70</v>
      </c>
      <c r="B9" s="103">
        <f>IF(Competenze!C10&gt;0,Competenze!C11/Competenze!C10,0)</f>
        <v>0.5</v>
      </c>
      <c r="C9" s="107">
        <f>IF(Competenze!C10&gt;0,INDICIb!C9,0)</f>
        <v>0.25113627707896935</v>
      </c>
      <c r="D9" s="181"/>
      <c r="E9" s="183"/>
    </row>
    <row r="10" spans="1:5" x14ac:dyDescent="0.25">
      <c r="A10" s="28" t="s">
        <v>7</v>
      </c>
      <c r="B10" s="103">
        <f>IF(Competenze!C4&gt;0,Competenze!C12/Competenze!C4,0)</f>
        <v>0.30434782608695654</v>
      </c>
      <c r="C10" s="107">
        <f>IF(Competenze!C4&gt;0,INDICIb!C10,0)</f>
        <v>7.3750650352041799E-2</v>
      </c>
      <c r="D10" s="181"/>
      <c r="E10" s="183"/>
    </row>
    <row r="11" spans="1:5" x14ac:dyDescent="0.25">
      <c r="A11" s="28" t="s">
        <v>8</v>
      </c>
      <c r="B11" s="103">
        <f>IF(Competenze!C4&gt;0,Competenze!C13/Competenze!C4,0)</f>
        <v>8.6956521739130432E-2</v>
      </c>
      <c r="C11" s="107">
        <f>IF(Competenze!C4&gt;0,INDICIb!C11,0)</f>
        <v>0.67273295312089587</v>
      </c>
      <c r="D11" s="181"/>
      <c r="E11" s="183"/>
    </row>
    <row r="12" spans="1:5" x14ac:dyDescent="0.25">
      <c r="A12" s="28" t="s">
        <v>9</v>
      </c>
      <c r="B12" s="103">
        <f>IF(Competenze!C4&gt;0,Competenze!C14/Competenze!C4,0)</f>
        <v>0.13043478260869565</v>
      </c>
      <c r="C12" s="107">
        <f>IF(Competenze!C4&gt;0,INDICIb!C12,0)</f>
        <v>0.79727660282122925</v>
      </c>
      <c r="D12" s="181"/>
      <c r="E12" s="183"/>
    </row>
    <row r="13" spans="1:5" x14ac:dyDescent="0.25">
      <c r="A13" s="28" t="s">
        <v>10</v>
      </c>
      <c r="B13" s="103">
        <f>IF(Competenze!C4&gt;0,Competenze!C15/Competenze!C4,0)</f>
        <v>0.13043478260869565</v>
      </c>
      <c r="C13" s="107">
        <f>IF(Competenze!C4&gt;0,INDICIb!C13,0)</f>
        <v>0.28240247716762878</v>
      </c>
      <c r="D13" s="181"/>
      <c r="E13" s="183"/>
    </row>
    <row r="14" spans="1:5" x14ac:dyDescent="0.25">
      <c r="A14" s="28" t="s">
        <v>11</v>
      </c>
      <c r="B14" s="103">
        <f>IF(Competenze!C4&gt;0,Competenze!C16/Competenze!C4,0)</f>
        <v>4.3478260869565216E-2</v>
      </c>
      <c r="C14" s="107">
        <f>IF(Competenze!C4&gt;0,INDICIb!C14,0)</f>
        <v>0.23753594846987558</v>
      </c>
      <c r="D14" s="181"/>
      <c r="E14" s="183"/>
    </row>
    <row r="15" spans="1:5" x14ac:dyDescent="0.25">
      <c r="A15" s="28" t="s">
        <v>82</v>
      </c>
      <c r="B15" s="104">
        <f>IF(Competenze!C4&gt;0,B21/Competenze!C4,0)</f>
        <v>125.33217347826087</v>
      </c>
      <c r="C15" s="107">
        <f>IF(Competenze!C4&gt;0,INDICIb!C15,0)</f>
        <v>5.2344708838992062</v>
      </c>
      <c r="D15" s="181"/>
      <c r="E15" s="183"/>
    </row>
    <row r="16" spans="1:5" x14ac:dyDescent="0.25">
      <c r="A16" s="185" t="s">
        <v>74</v>
      </c>
      <c r="B16" s="186"/>
      <c r="C16" s="186"/>
      <c r="D16" s="187"/>
      <c r="E16" s="183"/>
    </row>
    <row r="17" spans="1:5" x14ac:dyDescent="0.25">
      <c r="A17" s="28" t="s">
        <v>23</v>
      </c>
      <c r="B17" s="103">
        <f>Formazione!C3/Competenze!C4</f>
        <v>0.34782608695652173</v>
      </c>
      <c r="C17" s="107">
        <f>INDICIb!C17</f>
        <v>0.82959922079871617</v>
      </c>
      <c r="D17" s="181">
        <f>SUM(C17:C19)</f>
        <v>7.8143436299085822</v>
      </c>
      <c r="E17" s="183"/>
    </row>
    <row r="18" spans="1:5" x14ac:dyDescent="0.25">
      <c r="A18" s="28" t="s">
        <v>24</v>
      </c>
      <c r="B18" s="103">
        <f>Formazione!C4/Competenze!C4</f>
        <v>0.21739130434782608</v>
      </c>
      <c r="C18" s="107">
        <f>INDICIb!C18</f>
        <v>2.6787830543608351</v>
      </c>
      <c r="D18" s="181"/>
      <c r="E18" s="183"/>
    </row>
    <row r="19" spans="1:5" x14ac:dyDescent="0.25">
      <c r="A19" s="28" t="s">
        <v>25</v>
      </c>
      <c r="B19" s="103">
        <f>Formazione!C5/Competenze!C4</f>
        <v>8.6956521739130432E-2</v>
      </c>
      <c r="C19" s="107">
        <f>INDICIb!C19</f>
        <v>4.305961354749031</v>
      </c>
      <c r="D19" s="181"/>
      <c r="E19" s="183"/>
    </row>
    <row r="20" spans="1:5" x14ac:dyDescent="0.25">
      <c r="A20" s="185" t="s">
        <v>182</v>
      </c>
      <c r="B20" s="186"/>
      <c r="C20" s="186"/>
      <c r="D20" s="187"/>
      <c r="E20" s="183"/>
    </row>
    <row r="21" spans="1:5" x14ac:dyDescent="0.25">
      <c r="A21" s="28" t="s">
        <v>13</v>
      </c>
      <c r="B21" s="104">
        <f>PESAGARE!E31</f>
        <v>2882.6399900000001</v>
      </c>
      <c r="C21" s="107">
        <f>INDICIb!C21</f>
        <v>32.334639497042197</v>
      </c>
      <c r="D21" s="181">
        <f>SUM(C21:C23)</f>
        <v>34.683228009398</v>
      </c>
      <c r="E21" s="183"/>
    </row>
    <row r="22" spans="1:5" x14ac:dyDescent="0.25">
      <c r="A22" s="28" t="s">
        <v>14</v>
      </c>
      <c r="B22" s="103">
        <f>IF(Gare!D3&gt;0,SUM(Gare!D21),0)</f>
        <v>0.45</v>
      </c>
      <c r="C22" s="107">
        <f>IF(Gare!D3&gt;0,INDICIb!C22,0)</f>
        <v>1.7423786004116015</v>
      </c>
      <c r="D22" s="181"/>
      <c r="E22" s="183"/>
    </row>
    <row r="23" spans="1:5" x14ac:dyDescent="0.25">
      <c r="A23" s="28" t="s">
        <v>83</v>
      </c>
      <c r="B23" s="103">
        <f>IF(Gare!D3&gt;0,Gare!D5/Gare!D3,0)</f>
        <v>0.08</v>
      </c>
      <c r="C23" s="107">
        <f>IF(Gare!D3&gt;0,INDICIb!C23,0)</f>
        <v>0.60620991194420637</v>
      </c>
      <c r="D23" s="181"/>
      <c r="E23" s="183"/>
    </row>
    <row r="24" spans="1:5" x14ac:dyDescent="0.25">
      <c r="A24" s="185" t="s">
        <v>186</v>
      </c>
      <c r="B24" s="186"/>
      <c r="C24" s="186"/>
      <c r="D24" s="187"/>
      <c r="E24" s="183"/>
    </row>
    <row r="25" spans="1:5" x14ac:dyDescent="0.25">
      <c r="A25" s="28" t="s">
        <v>81</v>
      </c>
      <c r="B25" s="103">
        <f>IF(Gare!D3&gt;0,'Obblighi comunicazione ANAC'!C4/'Obblighi comunicazione ANAC'!C3,0)</f>
        <v>0.88</v>
      </c>
      <c r="C25" s="107">
        <f>IF(Gare!D3&gt;0,INDICIb!C25,0)</f>
        <v>2.0620273860798237</v>
      </c>
      <c r="D25" s="181">
        <f>SUM(C25:C26)</f>
        <v>4.0071037576985233</v>
      </c>
      <c r="E25" s="183"/>
    </row>
    <row r="26" spans="1:5" x14ac:dyDescent="0.25">
      <c r="A26" s="28" t="s">
        <v>78</v>
      </c>
      <c r="B26" s="103">
        <f>IF(Gare!D3&gt;0,'Obblighi comunicazione ANAC'!C6/('Obblighi comunicazione ANAC'!C3-'Obblighi comunicazione ANAC'!C5),0)</f>
        <v>0.86956521739130432</v>
      </c>
      <c r="C26" s="107">
        <f>IF(Gare!D3&gt;0,INDICIb!C26,0)</f>
        <v>1.9450763716186998</v>
      </c>
      <c r="D26" s="181"/>
      <c r="E26" s="183"/>
    </row>
    <row r="27" spans="1:5" x14ac:dyDescent="0.25">
      <c r="A27" s="185" t="s">
        <v>76</v>
      </c>
      <c r="B27" s="186"/>
      <c r="C27" s="186"/>
      <c r="D27" s="187"/>
      <c r="E27" s="183"/>
    </row>
    <row r="28" spans="1:5" x14ac:dyDescent="0.25">
      <c r="A28" s="28" t="s">
        <v>29</v>
      </c>
      <c r="B28" s="105">
        <f>'Monitoraggio RGS'!C3</f>
        <v>85</v>
      </c>
      <c r="C28" s="107">
        <f>INDICIb!C28</f>
        <v>2.2062688857224515</v>
      </c>
      <c r="D28" s="181">
        <f>SUM(C28:C29)</f>
        <v>3.0104567062027567</v>
      </c>
      <c r="E28" s="183"/>
    </row>
    <row r="29" spans="1:5" x14ac:dyDescent="0.25">
      <c r="A29" s="28" t="s">
        <v>30</v>
      </c>
      <c r="B29" s="105">
        <f>'Monitoraggio RGS'!C4</f>
        <v>25</v>
      </c>
      <c r="C29" s="107">
        <f>INDICIb!C29</f>
        <v>0.80418782048030535</v>
      </c>
      <c r="D29" s="181"/>
      <c r="E29" s="183"/>
    </row>
    <row r="30" spans="1:5" x14ac:dyDescent="0.25">
      <c r="A30" s="185" t="s">
        <v>75</v>
      </c>
      <c r="B30" s="186"/>
      <c r="C30" s="186"/>
      <c r="D30" s="187"/>
      <c r="E30" s="183"/>
    </row>
    <row r="31" spans="1:5" x14ac:dyDescent="0.25">
      <c r="A31" s="106" t="s">
        <v>18</v>
      </c>
      <c r="B31" s="103">
        <f>IF(Gare!D3&gt;0,'Utilizzo piattaforma telematica'!C4/'Utilizzo piattaforma telematica'!C3,0)</f>
        <v>0.8666666666666667</v>
      </c>
      <c r="C31" s="107">
        <f>IF(Gare!D3&gt;0,INDICIb!C31,0)</f>
        <v>1.8287038405320459</v>
      </c>
      <c r="D31" s="181">
        <f>SUM(C31:C33)</f>
        <v>8.0561207227719969</v>
      </c>
      <c r="E31" s="183"/>
    </row>
    <row r="32" spans="1:5" ht="30" x14ac:dyDescent="0.25">
      <c r="A32" s="106" t="s">
        <v>79</v>
      </c>
      <c r="B32" s="33">
        <f>IF(Gare!D3&gt;0,'Utilizzo piattaforma telematica'!C5,0)</f>
        <v>6</v>
      </c>
      <c r="C32" s="107">
        <f>IF(Gare!D3&gt;0,INDICIb!C32,0)</f>
        <v>2.5109370527084995</v>
      </c>
      <c r="D32" s="181"/>
      <c r="E32" s="183"/>
    </row>
    <row r="33" spans="1:5" ht="30" x14ac:dyDescent="0.25">
      <c r="A33" s="106" t="s">
        <v>80</v>
      </c>
      <c r="B33" s="33">
        <f>IF(Gare!D3&gt;0,'Utilizzo piattaforma telematica'!C6,0)</f>
        <v>7</v>
      </c>
      <c r="C33" s="107">
        <f>IF(Gare!D3&gt;0,INDICIb!C33,0)</f>
        <v>3.7164798295314507</v>
      </c>
      <c r="D33" s="181"/>
      <c r="E33" s="184"/>
    </row>
  </sheetData>
  <sheetProtection selectLockedCells="1" selectUnlockedCells="1"/>
  <mergeCells count="13">
    <mergeCell ref="D31:D33"/>
    <mergeCell ref="E2:E33"/>
    <mergeCell ref="D17:D19"/>
    <mergeCell ref="D3:D15"/>
    <mergeCell ref="D21:D23"/>
    <mergeCell ref="D25:D26"/>
    <mergeCell ref="D28:D29"/>
    <mergeCell ref="A2:D2"/>
    <mergeCell ref="A20:D20"/>
    <mergeCell ref="A24:D24"/>
    <mergeCell ref="A27:D27"/>
    <mergeCell ref="A30:D30"/>
    <mergeCell ref="A16:D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9"/>
  <sheetViews>
    <sheetView zoomScale="80" zoomScaleNormal="80" workbookViewId="0">
      <selection sqref="A1:XFD1048576"/>
    </sheetView>
  </sheetViews>
  <sheetFormatPr defaultColWidth="15" defaultRowHeight="24" customHeight="1" x14ac:dyDescent="0.25"/>
  <cols>
    <col min="1" max="1" width="15" style="15"/>
    <col min="2" max="3" width="15" style="2"/>
    <col min="7" max="7" width="67.7109375" customWidth="1"/>
    <col min="8" max="8" width="17" bestFit="1" customWidth="1"/>
    <col min="9" max="9" width="218.140625" style="7" bestFit="1" customWidth="1"/>
  </cols>
  <sheetData>
    <row r="1" spans="1:9" ht="24" customHeight="1" x14ac:dyDescent="0.25">
      <c r="A1" s="188" t="s">
        <v>66</v>
      </c>
      <c r="B1" s="189"/>
      <c r="C1" s="190"/>
      <c r="D1" s="190"/>
      <c r="E1" s="190"/>
      <c r="F1" s="190"/>
      <c r="G1" s="190"/>
      <c r="H1" s="22" t="s">
        <v>65</v>
      </c>
    </row>
    <row r="2" spans="1:9" ht="24" customHeight="1" x14ac:dyDescent="0.25">
      <c r="A2" s="29">
        <v>1</v>
      </c>
      <c r="B2" s="191" t="s">
        <v>77</v>
      </c>
      <c r="C2" s="192"/>
      <c r="D2" s="192"/>
      <c r="E2" s="192"/>
      <c r="F2" s="192"/>
      <c r="G2" s="192"/>
      <c r="H2" s="9">
        <f>SUM(Gare!D3:F3)</f>
        <v>25</v>
      </c>
      <c r="I2" s="11" t="s">
        <v>51</v>
      </c>
    </row>
    <row r="3" spans="1:9" ht="24" customHeight="1" x14ac:dyDescent="0.25">
      <c r="A3" s="29">
        <v>2</v>
      </c>
      <c r="B3" s="191" t="s">
        <v>58</v>
      </c>
      <c r="C3" s="192"/>
      <c r="D3" s="192"/>
      <c r="E3" s="192"/>
      <c r="F3" s="192"/>
      <c r="G3" s="192"/>
      <c r="H3" s="9">
        <f>SUM(Gare!D5:F5)</f>
        <v>2</v>
      </c>
      <c r="I3" s="18" t="s">
        <v>59</v>
      </c>
    </row>
    <row r="4" spans="1:9" ht="51" customHeight="1" x14ac:dyDescent="0.25">
      <c r="A4" s="29">
        <v>3</v>
      </c>
      <c r="B4" s="191" t="s">
        <v>57</v>
      </c>
      <c r="C4" s="192"/>
      <c r="D4" s="192"/>
      <c r="E4" s="192"/>
      <c r="F4" s="192"/>
      <c r="G4" s="192"/>
    </row>
    <row r="5" spans="1:9" ht="24.75" customHeight="1" x14ac:dyDescent="0.25">
      <c r="A5" s="16"/>
      <c r="B5" s="30"/>
      <c r="C5" s="31"/>
      <c r="D5" s="32"/>
      <c r="E5" s="32"/>
      <c r="F5" s="32"/>
      <c r="G5" s="20"/>
      <c r="H5" s="19"/>
    </row>
    <row r="6" spans="1:9" ht="24" customHeight="1" x14ac:dyDescent="0.25">
      <c r="B6" s="193" t="s">
        <v>54</v>
      </c>
      <c r="C6" s="193" t="s">
        <v>56</v>
      </c>
      <c r="D6" s="196" t="s">
        <v>50</v>
      </c>
      <c r="E6" s="196"/>
      <c r="F6" s="196"/>
    </row>
    <row r="7" spans="1:9" ht="24" customHeight="1" x14ac:dyDescent="0.25">
      <c r="B7" s="194"/>
      <c r="C7" s="194"/>
      <c r="D7" s="197" t="s">
        <v>52</v>
      </c>
      <c r="E7" s="198"/>
      <c r="F7" s="199"/>
      <c r="I7" s="14"/>
    </row>
    <row r="8" spans="1:9" ht="60" x14ac:dyDescent="0.25">
      <c r="B8" s="195"/>
      <c r="C8" s="195" t="s">
        <v>56</v>
      </c>
      <c r="D8" s="17" t="s">
        <v>61</v>
      </c>
      <c r="E8" s="17" t="s">
        <v>62</v>
      </c>
      <c r="F8" s="17" t="s">
        <v>63</v>
      </c>
      <c r="I8" s="13" t="s">
        <v>53</v>
      </c>
    </row>
    <row r="9" spans="1:9" ht="24" customHeight="1" x14ac:dyDescent="0.25">
      <c r="B9" s="23" t="s">
        <v>44</v>
      </c>
      <c r="C9" s="23" t="s">
        <v>45</v>
      </c>
      <c r="D9" s="10">
        <f>SUM(Gare!D11)</f>
        <v>7</v>
      </c>
      <c r="E9" s="10">
        <f>SUM(Gare!E11)</f>
        <v>2</v>
      </c>
      <c r="F9" s="10">
        <f>SUM(Gare!F11)</f>
        <v>1</v>
      </c>
      <c r="I9" s="12" t="s">
        <v>55</v>
      </c>
    </row>
    <row r="10" spans="1:9" ht="24" customHeight="1" x14ac:dyDescent="0.25">
      <c r="B10" s="23" t="s">
        <v>44</v>
      </c>
      <c r="C10" s="23" t="s">
        <v>46</v>
      </c>
      <c r="D10" s="10">
        <f>SUM(Gare!D12)</f>
        <v>1</v>
      </c>
      <c r="E10" s="10">
        <f>SUM(Gare!E12)</f>
        <v>1</v>
      </c>
      <c r="F10" s="10">
        <f>SUM(Gare!F12)</f>
        <v>0</v>
      </c>
      <c r="I10" s="12" t="s">
        <v>60</v>
      </c>
    </row>
    <row r="11" spans="1:9" ht="24" customHeight="1" x14ac:dyDescent="0.25">
      <c r="B11" s="23" t="s">
        <v>47</v>
      </c>
      <c r="C11" s="23" t="s">
        <v>45</v>
      </c>
      <c r="D11" s="10">
        <f>SUM(Gare!D13)</f>
        <v>2</v>
      </c>
      <c r="E11" s="10">
        <f>SUM(Gare!E13)</f>
        <v>0</v>
      </c>
      <c r="F11" s="10">
        <f>SUM(Gare!F13)</f>
        <v>1</v>
      </c>
    </row>
    <row r="12" spans="1:9" ht="24" customHeight="1" x14ac:dyDescent="0.25">
      <c r="B12" s="23" t="s">
        <v>47</v>
      </c>
      <c r="C12" s="23" t="s">
        <v>46</v>
      </c>
      <c r="D12" s="10">
        <f>SUM(Gare!D14)</f>
        <v>0</v>
      </c>
      <c r="E12" s="10">
        <f>SUM(Gare!E14)</f>
        <v>1</v>
      </c>
      <c r="F12" s="10">
        <f>SUM(Gare!F14)</f>
        <v>0</v>
      </c>
    </row>
    <row r="13" spans="1:9" ht="24" customHeight="1" x14ac:dyDescent="0.25">
      <c r="B13" s="23" t="s">
        <v>48</v>
      </c>
      <c r="C13" s="23" t="s">
        <v>45</v>
      </c>
      <c r="D13" s="10">
        <f>SUM(Gare!D15)</f>
        <v>0</v>
      </c>
      <c r="E13" s="10">
        <f>SUM(Gare!E15)</f>
        <v>2</v>
      </c>
      <c r="F13" s="10">
        <f>SUM(Gare!F15)</f>
        <v>0</v>
      </c>
    </row>
    <row r="14" spans="1:9" ht="24" customHeight="1" x14ac:dyDescent="0.25">
      <c r="B14" s="23" t="s">
        <v>48</v>
      </c>
      <c r="C14" s="23" t="s">
        <v>46</v>
      </c>
      <c r="D14" s="10">
        <f>SUM(Gare!D16)</f>
        <v>1</v>
      </c>
      <c r="E14" s="10">
        <f>SUM(Gare!E16)</f>
        <v>0</v>
      </c>
      <c r="F14" s="10">
        <f>SUM(Gare!F16)</f>
        <v>0</v>
      </c>
    </row>
    <row r="15" spans="1:9" ht="24" customHeight="1" x14ac:dyDescent="0.25">
      <c r="B15" s="23" t="s">
        <v>49</v>
      </c>
      <c r="C15" s="23" t="s">
        <v>45</v>
      </c>
      <c r="D15" s="10">
        <f>SUM(Gare!D17)</f>
        <v>0</v>
      </c>
      <c r="E15" s="10">
        <f>SUM(Gare!E17)</f>
        <v>0</v>
      </c>
      <c r="F15" s="10">
        <f>SUM(Gare!F17)</f>
        <v>1</v>
      </c>
    </row>
    <row r="16" spans="1:9" ht="24" customHeight="1" x14ac:dyDescent="0.25">
      <c r="B16" s="23" t="s">
        <v>49</v>
      </c>
      <c r="C16" s="23" t="s">
        <v>46</v>
      </c>
      <c r="D16" s="10">
        <f>SUM(Gare!D18)</f>
        <v>0</v>
      </c>
      <c r="E16" s="10">
        <f>SUM(Gare!E18)</f>
        <v>0</v>
      </c>
      <c r="F16" s="10">
        <f>SUM(Gare!F18)</f>
        <v>0</v>
      </c>
    </row>
    <row r="17" spans="1:9" ht="24" customHeight="1" x14ac:dyDescent="0.25">
      <c r="B17" s="3"/>
    </row>
    <row r="18" spans="1:9" ht="24" customHeight="1" x14ac:dyDescent="0.25">
      <c r="A18" s="29">
        <v>4</v>
      </c>
      <c r="B18" s="191" t="s">
        <v>34</v>
      </c>
      <c r="C18" s="192"/>
      <c r="D18" s="192"/>
      <c r="E18" s="192"/>
      <c r="F18" s="192"/>
      <c r="G18" s="192"/>
      <c r="H18" s="102">
        <f>SUM(Gare!D21:F21)</f>
        <v>0.45</v>
      </c>
      <c r="I18" s="24" t="s">
        <v>64</v>
      </c>
    </row>
    <row r="19" spans="1:9" ht="24" customHeight="1" x14ac:dyDescent="0.25">
      <c r="B19" s="3"/>
    </row>
  </sheetData>
  <sheetProtection algorithmName="SHA-512" hashValue="+vUyYZmuoK3qZTqykzUZf+C34SARBuMgjuxzrxRcQDmQjObHgpzMHuOgw+MoHZrzR9ytc1lLI2AxtOIFbOYhRA==" saltValue="SebFRLd8FtT2jjFTBhOC+Q==" spinCount="100000" sheet="1" objects="1" scenarios="1" selectLockedCells="1" selectUnlockedCells="1"/>
  <mergeCells count="9">
    <mergeCell ref="A1:G1"/>
    <mergeCell ref="B18:G18"/>
    <mergeCell ref="B2:G2"/>
    <mergeCell ref="B3:G3"/>
    <mergeCell ref="B4:G4"/>
    <mergeCell ref="B6:B8"/>
    <mergeCell ref="C6:C8"/>
    <mergeCell ref="D6:F6"/>
    <mergeCell ref="D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Gare</vt:lpstr>
      <vt:lpstr>Competenze</vt:lpstr>
      <vt:lpstr>Formazione</vt:lpstr>
      <vt:lpstr>Obblighi comunicazione ANAC</vt:lpstr>
      <vt:lpstr>Monitoraggio RGS</vt:lpstr>
      <vt:lpstr>Utilizzo piattaforma telematica</vt:lpstr>
      <vt:lpstr>Punteggio Complessivo</vt:lpstr>
      <vt:lpstr>INDICI-PUNTEGGI</vt:lpstr>
      <vt:lpstr>Esperienza gare</vt:lpstr>
      <vt:lpstr>PESAGARE</vt:lpstr>
      <vt:lpstr>INDICIb</vt:lpstr>
      <vt:lpstr>CALCOLO</vt:lpstr>
      <vt:lpstr>coefficienti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Conforti Davide</dc:creator>
  <cp:lastModifiedBy> </cp:lastModifiedBy>
  <dcterms:created xsi:type="dcterms:W3CDTF">2022-09-23T14:00:05Z</dcterms:created>
  <dcterms:modified xsi:type="dcterms:W3CDTF">2022-11-15T12:26:31Z</dcterms:modified>
</cp:coreProperties>
</file>